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T:\FINANCE\FINANCIAL SERVICES\STARS Program - Financial Transparency\Budget Files\"/>
    </mc:Choice>
  </mc:AlternateContent>
  <xr:revisionPtr revIDLastSave="0" documentId="13_ncr:1_{D2B02C58-EB09-4ED2-AB1B-EA6F21648117}" xr6:coauthVersionLast="45" xr6:coauthVersionMax="46" xr10:uidLastSave="{00000000-0000-0000-0000-000000000000}"/>
  <bookViews>
    <workbookView xWindow="0" yWindow="0" windowWidth="17190" windowHeight="21000" tabRatio="601" xr2:uid="{00000000-000D-0000-FFFF-FFFF00000000}"/>
  </bookViews>
  <sheets>
    <sheet name="F000 Sum" sheetId="4" r:id="rId1"/>
    <sheet name="F000 Detail" sheetId="2" r:id="rId2"/>
    <sheet name="F000 F&amp;O" sheetId="3" r:id="rId3"/>
    <sheet name="F100 Sum" sheetId="5" r:id="rId4"/>
    <sheet name="F100 Detail" sheetId="17" r:id="rId5"/>
    <sheet name="F100 Object" sheetId="22" r:id="rId6"/>
    <sheet name="F200 Object" sheetId="6" r:id="rId7"/>
    <sheet name="F200 Detail" sheetId="8" r:id="rId8"/>
    <sheet name="F200 Fund" sheetId="18" r:id="rId9"/>
    <sheet name="F500 Sum" sheetId="7" r:id="rId10"/>
    <sheet name="F500 Object" sheetId="23" r:id="rId11"/>
    <sheet name="F500 Detail" sheetId="9" r:id="rId12"/>
    <sheet name="F600 Sum" sheetId="10" r:id="rId13"/>
    <sheet name="F600 Detail" sheetId="11" r:id="rId14"/>
    <sheet name="All Outstanding Debt" sheetId="19" r:id="rId15"/>
    <sheet name="Aggregate Debt Service" sheetId="21" r:id="rId16"/>
    <sheet name="Sheet2" sheetId="20" r:id="rId17"/>
  </sheets>
  <externalReferences>
    <externalReference r:id="rId18"/>
    <externalReference r:id="rId19"/>
    <externalReference r:id="rId20"/>
    <externalReference r:id="rId21"/>
    <externalReference r:id="rId22"/>
  </externalReferences>
  <definedNames>
    <definedName name="\A">[1]A!#REF!</definedName>
    <definedName name="\F">[1]A!#REF!</definedName>
    <definedName name="\G">[1]A!#REF!</definedName>
    <definedName name="\U">[1]A!#REF!</definedName>
    <definedName name="\X">[1]A!#REF!</definedName>
    <definedName name="__123Graph_B" hidden="1">'[2]Chart 02'!#REF!</definedName>
    <definedName name="__123Graph_C" hidden="1">'[2]Chart 02'!#REF!</definedName>
    <definedName name="Coll">'[3]Summary Sheet'!#REF!</definedName>
    <definedName name="_xlnm.Database">#REF!</definedName>
    <definedName name="dated6">'[4]Debt schedules'!#REF!</definedName>
    <definedName name="MG">[1]A!#REF!</definedName>
    <definedName name="_xlnm.Print_Area" localSheetId="1">'F000 Detail'!$A$1:$F$227</definedName>
    <definedName name="_xlnm.Print_Area" localSheetId="2">'F000 F&amp;O'!$A$1:$F$232</definedName>
    <definedName name="_xlnm.Print_Area" localSheetId="0">'F000 Sum'!$A$1:$F$43</definedName>
    <definedName name="_xlnm.Print_Area" localSheetId="4">'F100 Detail'!$A$1:$F$233</definedName>
    <definedName name="_xlnm.Print_Area" localSheetId="5">'F100 Object'!$A$1:$I$244</definedName>
    <definedName name="_xlnm.Print_Area" localSheetId="3" xml:space="preserve">  'F100 Sum'!$A$1:$F$43</definedName>
    <definedName name="_xlnm.Print_Area" localSheetId="7">'F200 Detail'!$A$1:$F$232</definedName>
    <definedName name="_xlnm.Print_Area" localSheetId="8">'F200 Fund'!$H$4:$O$46</definedName>
    <definedName name="_xlnm.Print_Area" localSheetId="6">'F200 Object'!$A$1:$J$54</definedName>
    <definedName name="_xlnm.Print_Area" localSheetId="11">'F500 Detail'!$A$1:$F$232</definedName>
    <definedName name="_xlnm.Print_Area" localSheetId="10">'F500 Object'!$A$1:$J$49</definedName>
    <definedName name="_xlnm.Print_Area" localSheetId="9" xml:space="preserve">            'F500 Sum'!$A$1:$F$43</definedName>
    <definedName name="_xlnm.Print_Area" localSheetId="13">'F600 Detail'!$1:$232</definedName>
    <definedName name="_xlnm.Print_Area" localSheetId="12">'F600 Sum'!$A$1:$F$43</definedName>
    <definedName name="_xlnm.Print_Titles" localSheetId="1">'F000 Detail'!$1:$7</definedName>
    <definedName name="_xlnm.Print_Titles" localSheetId="2">'F000 F&amp;O'!$1:$8</definedName>
    <definedName name="_xlnm.Print_Titles" localSheetId="4">'F100 Detail'!$1:$7</definedName>
    <definedName name="_xlnm.Print_Titles" localSheetId="7">'F200 Detail'!$1:$7</definedName>
    <definedName name="_xlnm.Print_Titles" localSheetId="11">'F500 Detail'!$1:$7</definedName>
    <definedName name="_xlnm.Print_Titles" localSheetId="13">'F600 Detail'!$1:$7</definedName>
    <definedName name="PSA">[1]A!#REF!</definedName>
    <definedName name="Target6">'[4]Debt schedules'!#REF!</definedName>
    <definedName name="TAV">'[3]Summary Sheet'!#REF!</definedName>
    <definedName name="wrn.Both._.Halves." hidden="1">{"Left Half",#N/A,FALSE,"GO Table";"Right Half",#N/A,FALSE,"GO Table"}</definedName>
    <definedName name="wrn.print._.all." hidden="1">{"os stuff",#N/A,FALSE,"Test Sheet";"calculations",#N/A,FALSE,"Test Sheet";"max ds",#N/A,FALSE,"Test Sheet"}</definedName>
    <definedName name="wrn.print._.both." hidden="1">{"os stuff",#N/A,FALSE,"Test Sheet";"calculations",#N/A,FALSE,"Test Sheet"}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7" i="22" l="1"/>
  <c r="I19" i="22"/>
  <c r="I89" i="22"/>
  <c r="H13" i="22"/>
  <c r="H231" i="22" s="1"/>
  <c r="H239" i="22" s="1"/>
  <c r="G13" i="22"/>
  <c r="G231" i="22" s="1"/>
  <c r="G239" i="22" s="1"/>
  <c r="G241" i="22"/>
  <c r="F241" i="22"/>
  <c r="F244" i="22" s="1"/>
  <c r="E241" i="22"/>
  <c r="D241" i="22"/>
  <c r="C244" i="22"/>
  <c r="F239" i="22"/>
  <c r="E239" i="22"/>
  <c r="D239" i="22"/>
  <c r="C239" i="22"/>
  <c r="F231" i="22"/>
  <c r="E231" i="22"/>
  <c r="D231" i="22"/>
  <c r="C231" i="22"/>
  <c r="C241" i="22"/>
  <c r="B244" i="22"/>
  <c r="B239" i="22"/>
  <c r="B234" i="22"/>
  <c r="B231" i="22"/>
  <c r="F13" i="22"/>
  <c r="E13" i="22"/>
  <c r="D13" i="22"/>
  <c r="C13" i="22"/>
  <c r="B13" i="22"/>
  <c r="J9" i="23"/>
  <c r="I9" i="23"/>
  <c r="H9" i="23"/>
  <c r="I13" i="22" l="1"/>
  <c r="G244" i="22"/>
  <c r="H241" i="22" s="1"/>
  <c r="H244" i="22" s="1"/>
  <c r="I241" i="22" s="1"/>
  <c r="E244" i="22"/>
  <c r="D244" i="22"/>
  <c r="B38" i="23"/>
  <c r="C42" i="23"/>
  <c r="C38" i="23"/>
  <c r="F206" i="23"/>
  <c r="G43" i="23"/>
  <c r="F43" i="23"/>
  <c r="G41" i="23"/>
  <c r="G37" i="23"/>
  <c r="F33" i="23"/>
  <c r="E33" i="23"/>
  <c r="D33" i="23"/>
  <c r="C33" i="23"/>
  <c r="B33" i="23"/>
  <c r="H33" i="23"/>
  <c r="G19" i="23"/>
  <c r="G18" i="23"/>
  <c r="G17" i="23"/>
  <c r="H13" i="23"/>
  <c r="F13" i="23"/>
  <c r="E13" i="23"/>
  <c r="D13" i="23"/>
  <c r="C13" i="23"/>
  <c r="B13" i="23"/>
  <c r="I13" i="23"/>
  <c r="G13" i="23"/>
  <c r="I21" i="6"/>
  <c r="J21" i="6"/>
  <c r="J11" i="6"/>
  <c r="I11" i="6"/>
  <c r="H21" i="6"/>
  <c r="H39" i="6"/>
  <c r="H13" i="6"/>
  <c r="J9" i="6"/>
  <c r="I9" i="6"/>
  <c r="G33" i="23" l="1"/>
  <c r="F35" i="23"/>
  <c r="F42" i="23" s="1"/>
  <c r="B35" i="23"/>
  <c r="B42" i="23" s="1"/>
  <c r="B48" i="23" s="1"/>
  <c r="C45" i="23" s="1"/>
  <c r="C35" i="23"/>
  <c r="F196" i="23"/>
  <c r="D35" i="23"/>
  <c r="D42" i="23" s="1"/>
  <c r="E35" i="23"/>
  <c r="E42" i="23" s="1"/>
  <c r="G35" i="23"/>
  <c r="G42" i="23" s="1"/>
  <c r="G48" i="23" s="1"/>
  <c r="H35" i="23"/>
  <c r="H42" i="23" s="1"/>
  <c r="J13" i="23"/>
  <c r="J13" i="6"/>
  <c r="I13" i="6"/>
  <c r="I39" i="6"/>
  <c r="J39" i="6"/>
  <c r="D227" i="22"/>
  <c r="C227" i="22"/>
  <c r="B227" i="22"/>
  <c r="D226" i="22"/>
  <c r="C226" i="22"/>
  <c r="B226" i="22"/>
  <c r="C225" i="22"/>
  <c r="B225" i="22"/>
  <c r="C224" i="22"/>
  <c r="C223" i="22"/>
  <c r="B223" i="22"/>
  <c r="F222" i="22"/>
  <c r="B222" i="22"/>
  <c r="D217" i="22"/>
  <c r="C217" i="22"/>
  <c r="B217" i="22"/>
  <c r="F216" i="22"/>
  <c r="G216" i="22" s="1"/>
  <c r="H216" i="22" s="1"/>
  <c r="I216" i="22" s="1"/>
  <c r="E216" i="22"/>
  <c r="E215" i="22"/>
  <c r="F215" i="22" s="1"/>
  <c r="G215" i="22" s="1"/>
  <c r="H215" i="22" s="1"/>
  <c r="I215" i="22" s="1"/>
  <c r="F214" i="22"/>
  <c r="G214" i="22" s="1"/>
  <c r="H214" i="22" s="1"/>
  <c r="I214" i="22" s="1"/>
  <c r="E214" i="22"/>
  <c r="E213" i="22"/>
  <c r="F213" i="22" s="1"/>
  <c r="G213" i="22" s="1"/>
  <c r="H213" i="22" s="1"/>
  <c r="I213" i="22" s="1"/>
  <c r="F212" i="22"/>
  <c r="F217" i="22" s="1"/>
  <c r="G211" i="22"/>
  <c r="D208" i="22"/>
  <c r="C208" i="22"/>
  <c r="B208" i="22"/>
  <c r="F207" i="22"/>
  <c r="G207" i="22" s="1"/>
  <c r="H207" i="22" s="1"/>
  <c r="I207" i="22" s="1"/>
  <c r="E207" i="22"/>
  <c r="E206" i="22"/>
  <c r="F206" i="22" s="1"/>
  <c r="G206" i="22" s="1"/>
  <c r="H206" i="22" s="1"/>
  <c r="I206" i="22" s="1"/>
  <c r="F204" i="22"/>
  <c r="G204" i="22" s="1"/>
  <c r="H204" i="22" s="1"/>
  <c r="I204" i="22" s="1"/>
  <c r="E204" i="22"/>
  <c r="E203" i="22"/>
  <c r="F203" i="22" s="1"/>
  <c r="G202" i="22"/>
  <c r="D199" i="22"/>
  <c r="C199" i="22"/>
  <c r="B199" i="22"/>
  <c r="F198" i="22"/>
  <c r="G198" i="22" s="1"/>
  <c r="H198" i="22" s="1"/>
  <c r="I198" i="22" s="1"/>
  <c r="E198" i="22"/>
  <c r="E197" i="22"/>
  <c r="F197" i="22" s="1"/>
  <c r="G197" i="22" s="1"/>
  <c r="H197" i="22" s="1"/>
  <c r="I197" i="22" s="1"/>
  <c r="F196" i="22"/>
  <c r="G196" i="22" s="1"/>
  <c r="H196" i="22" s="1"/>
  <c r="I196" i="22" s="1"/>
  <c r="E196" i="22"/>
  <c r="E195" i="22"/>
  <c r="F195" i="22" s="1"/>
  <c r="H194" i="22"/>
  <c r="I194" i="22" s="1"/>
  <c r="G194" i="22"/>
  <c r="G193" i="22"/>
  <c r="C191" i="22"/>
  <c r="B191" i="22"/>
  <c r="G190" i="22"/>
  <c r="H190" i="22" s="1"/>
  <c r="I190" i="22" s="1"/>
  <c r="F190" i="22"/>
  <c r="E190" i="22"/>
  <c r="F189" i="22"/>
  <c r="G189" i="22" s="1"/>
  <c r="H189" i="22" s="1"/>
  <c r="I189" i="22" s="1"/>
  <c r="E189" i="22"/>
  <c r="I188" i="22"/>
  <c r="H188" i="22"/>
  <c r="G188" i="22"/>
  <c r="F188" i="22"/>
  <c r="E187" i="22"/>
  <c r="F187" i="22" s="1"/>
  <c r="G187" i="22" s="1"/>
  <c r="H187" i="22" s="1"/>
  <c r="I187" i="22" s="1"/>
  <c r="F186" i="22"/>
  <c r="H185" i="22"/>
  <c r="G185" i="22"/>
  <c r="D185" i="22"/>
  <c r="D191" i="22" s="1"/>
  <c r="C185" i="22"/>
  <c r="C222" i="22" s="1"/>
  <c r="C229" i="22" s="1"/>
  <c r="B185" i="22"/>
  <c r="D182" i="22"/>
  <c r="C182" i="22"/>
  <c r="B182" i="22"/>
  <c r="E181" i="22"/>
  <c r="F181" i="22" s="1"/>
  <c r="G181" i="22" s="1"/>
  <c r="H181" i="22" s="1"/>
  <c r="I181" i="22" s="1"/>
  <c r="F180" i="22"/>
  <c r="G180" i="22" s="1"/>
  <c r="H180" i="22" s="1"/>
  <c r="I180" i="22" s="1"/>
  <c r="E180" i="22"/>
  <c r="G179" i="22"/>
  <c r="H179" i="22" s="1"/>
  <c r="I179" i="22" s="1"/>
  <c r="F179" i="22"/>
  <c r="E179" i="22"/>
  <c r="F178" i="22"/>
  <c r="F182" i="22" s="1"/>
  <c r="E178" i="22"/>
  <c r="G176" i="22"/>
  <c r="G173" i="22"/>
  <c r="F173" i="22"/>
  <c r="D173" i="22"/>
  <c r="C173" i="22"/>
  <c r="B173" i="22"/>
  <c r="I172" i="22"/>
  <c r="H171" i="22"/>
  <c r="I171" i="22" s="1"/>
  <c r="G171" i="22"/>
  <c r="E171" i="22"/>
  <c r="H170" i="22"/>
  <c r="I170" i="22" s="1"/>
  <c r="G170" i="22"/>
  <c r="E170" i="22"/>
  <c r="H169" i="22"/>
  <c r="I169" i="22" s="1"/>
  <c r="G169" i="22"/>
  <c r="G168" i="22"/>
  <c r="H168" i="22" s="1"/>
  <c r="I168" i="22" s="1"/>
  <c r="G167" i="22"/>
  <c r="C164" i="22"/>
  <c r="B164" i="22"/>
  <c r="F163" i="22"/>
  <c r="G163" i="22" s="1"/>
  <c r="H163" i="22" s="1"/>
  <c r="I163" i="22" s="1"/>
  <c r="E163" i="22"/>
  <c r="G162" i="22"/>
  <c r="H162" i="22" s="1"/>
  <c r="I162" i="22" s="1"/>
  <c r="E162" i="22"/>
  <c r="G161" i="22"/>
  <c r="H161" i="22" s="1"/>
  <c r="I161" i="22" s="1"/>
  <c r="D161" i="22"/>
  <c r="E161" i="22" s="1"/>
  <c r="B161" i="22"/>
  <c r="G160" i="22"/>
  <c r="H160" i="22" s="1"/>
  <c r="I160" i="22" s="1"/>
  <c r="D160" i="22"/>
  <c r="E160" i="22" s="1"/>
  <c r="B160" i="22"/>
  <c r="G159" i="22"/>
  <c r="H159" i="22" s="1"/>
  <c r="I159" i="22" s="1"/>
  <c r="D159" i="22"/>
  <c r="E159" i="22" s="1"/>
  <c r="B159" i="22"/>
  <c r="G158" i="22"/>
  <c r="H211" i="22" s="1"/>
  <c r="D158" i="22"/>
  <c r="E185" i="22" s="1"/>
  <c r="E191" i="22" s="1"/>
  <c r="B158" i="22"/>
  <c r="D155" i="22"/>
  <c r="C155" i="22"/>
  <c r="B155" i="22"/>
  <c r="E154" i="22"/>
  <c r="F154" i="22" s="1"/>
  <c r="G154" i="22" s="1"/>
  <c r="H154" i="22" s="1"/>
  <c r="I154" i="22" s="1"/>
  <c r="F153" i="22"/>
  <c r="G153" i="22" s="1"/>
  <c r="H153" i="22" s="1"/>
  <c r="I153" i="22" s="1"/>
  <c r="E153" i="22"/>
  <c r="G152" i="22"/>
  <c r="H152" i="22" s="1"/>
  <c r="I152" i="22" s="1"/>
  <c r="I151" i="22"/>
  <c r="G151" i="22"/>
  <c r="G155" i="22" s="1"/>
  <c r="H150" i="22"/>
  <c r="I150" i="22" s="1"/>
  <c r="G150" i="22"/>
  <c r="I149" i="22"/>
  <c r="D147" i="22"/>
  <c r="C147" i="22"/>
  <c r="B147" i="22"/>
  <c r="F146" i="22"/>
  <c r="G146" i="22" s="1"/>
  <c r="H146" i="22" s="1"/>
  <c r="I146" i="22" s="1"/>
  <c r="E146" i="22"/>
  <c r="E145" i="22"/>
  <c r="E147" i="22" s="1"/>
  <c r="H144" i="22"/>
  <c r="H143" i="22"/>
  <c r="I143" i="22" s="1"/>
  <c r="H142" i="22"/>
  <c r="I142" i="22" s="1"/>
  <c r="G142" i="22"/>
  <c r="I141" i="22"/>
  <c r="D138" i="22"/>
  <c r="C138" i="22"/>
  <c r="B138" i="22"/>
  <c r="H137" i="22"/>
  <c r="I137" i="22" s="1"/>
  <c r="G137" i="22"/>
  <c r="E136" i="22"/>
  <c r="E138" i="22" s="1"/>
  <c r="I135" i="22"/>
  <c r="H135" i="22"/>
  <c r="G135" i="22"/>
  <c r="I134" i="22"/>
  <c r="H134" i="22"/>
  <c r="I133" i="22"/>
  <c r="H132" i="22"/>
  <c r="I132" i="22" s="1"/>
  <c r="D129" i="22"/>
  <c r="C129" i="22"/>
  <c r="B129" i="22"/>
  <c r="H128" i="22"/>
  <c r="I128" i="22" s="1"/>
  <c r="G128" i="22"/>
  <c r="E127" i="22"/>
  <c r="E129" i="22" s="1"/>
  <c r="H126" i="22"/>
  <c r="H125" i="22"/>
  <c r="I125" i="22" s="1"/>
  <c r="I123" i="22"/>
  <c r="C120" i="22"/>
  <c r="B120" i="22"/>
  <c r="F119" i="22"/>
  <c r="G119" i="22" s="1"/>
  <c r="H119" i="22" s="1"/>
  <c r="I119" i="22" s="1"/>
  <c r="E119" i="22"/>
  <c r="E118" i="22"/>
  <c r="E120" i="22" s="1"/>
  <c r="H117" i="22"/>
  <c r="I117" i="22" s="1"/>
  <c r="G117" i="22"/>
  <c r="G116" i="22"/>
  <c r="H116" i="22" s="1"/>
  <c r="I116" i="22" s="1"/>
  <c r="H115" i="22"/>
  <c r="I115" i="22" s="1"/>
  <c r="G115" i="22"/>
  <c r="I114" i="22"/>
  <c r="D114" i="22"/>
  <c r="D120" i="22" s="1"/>
  <c r="E111" i="22"/>
  <c r="D111" i="22"/>
  <c r="C111" i="22"/>
  <c r="B111" i="22"/>
  <c r="G110" i="22"/>
  <c r="H110" i="22" s="1"/>
  <c r="I110" i="22" s="1"/>
  <c r="F110" i="22"/>
  <c r="E109" i="22"/>
  <c r="F109" i="22" s="1"/>
  <c r="H108" i="22"/>
  <c r="I108" i="22" s="1"/>
  <c r="I107" i="22"/>
  <c r="I106" i="22"/>
  <c r="H106" i="22"/>
  <c r="I105" i="22"/>
  <c r="C103" i="22"/>
  <c r="E102" i="22"/>
  <c r="F102" i="22" s="1"/>
  <c r="G102" i="22" s="1"/>
  <c r="H102" i="22" s="1"/>
  <c r="I102" i="22" s="1"/>
  <c r="E101" i="22"/>
  <c r="F101" i="22" s="1"/>
  <c r="G101" i="22" s="1"/>
  <c r="H101" i="22" s="1"/>
  <c r="I101" i="22" s="1"/>
  <c r="D100" i="22"/>
  <c r="D225" i="22" s="1"/>
  <c r="B100" i="22"/>
  <c r="E99" i="22"/>
  <c r="F99" i="22" s="1"/>
  <c r="G99" i="22" s="1"/>
  <c r="H99" i="22" s="1"/>
  <c r="I99" i="22" s="1"/>
  <c r="D99" i="22"/>
  <c r="D224" i="22" s="1"/>
  <c r="B99" i="22"/>
  <c r="B224" i="22" s="1"/>
  <c r="D98" i="22"/>
  <c r="E98" i="22" s="1"/>
  <c r="B98" i="22"/>
  <c r="G97" i="22"/>
  <c r="H97" i="22" s="1"/>
  <c r="E97" i="22"/>
  <c r="D94" i="22"/>
  <c r="C94" i="22"/>
  <c r="B94" i="22"/>
  <c r="E93" i="22"/>
  <c r="E94" i="22" s="1"/>
  <c r="E92" i="22"/>
  <c r="F92" i="22" s="1"/>
  <c r="I91" i="22"/>
  <c r="H91" i="22"/>
  <c r="I90" i="22"/>
  <c r="G89" i="22"/>
  <c r="G88" i="22"/>
  <c r="G222" i="22" s="1"/>
  <c r="E88" i="22"/>
  <c r="D85" i="22"/>
  <c r="C85" i="22"/>
  <c r="B85" i="22"/>
  <c r="F84" i="22"/>
  <c r="G84" i="22" s="1"/>
  <c r="H84" i="22" s="1"/>
  <c r="I84" i="22" s="1"/>
  <c r="E84" i="22"/>
  <c r="E83" i="22"/>
  <c r="E85" i="22" s="1"/>
  <c r="H82" i="22"/>
  <c r="I82" i="22" s="1"/>
  <c r="H81" i="22"/>
  <c r="I81" i="22" s="1"/>
  <c r="H80" i="22"/>
  <c r="I80" i="22" s="1"/>
  <c r="G80" i="22"/>
  <c r="I79" i="22"/>
  <c r="H79" i="22"/>
  <c r="D76" i="22"/>
  <c r="C76" i="22"/>
  <c r="B76" i="22"/>
  <c r="E75" i="22"/>
  <c r="F75" i="22" s="1"/>
  <c r="G75" i="22" s="1"/>
  <c r="H75" i="22" s="1"/>
  <c r="I75" i="22" s="1"/>
  <c r="F74" i="22"/>
  <c r="G74" i="22" s="1"/>
  <c r="H74" i="22" s="1"/>
  <c r="I74" i="22" s="1"/>
  <c r="E74" i="22"/>
  <c r="E73" i="22"/>
  <c r="E72" i="22"/>
  <c r="F72" i="22" s="1"/>
  <c r="I71" i="22"/>
  <c r="H71" i="22"/>
  <c r="I70" i="22"/>
  <c r="H70" i="22"/>
  <c r="D67" i="22"/>
  <c r="C67" i="22"/>
  <c r="B67" i="22"/>
  <c r="E66" i="22"/>
  <c r="F66" i="22" s="1"/>
  <c r="G66" i="22" s="1"/>
  <c r="H66" i="22" s="1"/>
  <c r="I66" i="22" s="1"/>
  <c r="F65" i="22"/>
  <c r="G65" i="22" s="1"/>
  <c r="H65" i="22" s="1"/>
  <c r="I65" i="22" s="1"/>
  <c r="E65" i="22"/>
  <c r="H64" i="22"/>
  <c r="I64" i="22" s="1"/>
  <c r="I63" i="22"/>
  <c r="H63" i="22"/>
  <c r="G62" i="22"/>
  <c r="H62" i="22" s="1"/>
  <c r="I61" i="22"/>
  <c r="E59" i="22"/>
  <c r="D59" i="22"/>
  <c r="C59" i="22"/>
  <c r="B59" i="22"/>
  <c r="E58" i="22"/>
  <c r="F58" i="22" s="1"/>
  <c r="G58" i="22" s="1"/>
  <c r="H58" i="22" s="1"/>
  <c r="I58" i="22" s="1"/>
  <c r="E57" i="22"/>
  <c r="F57" i="22" s="1"/>
  <c r="I56" i="22"/>
  <c r="H56" i="22"/>
  <c r="I55" i="22"/>
  <c r="H55" i="22"/>
  <c r="I54" i="22"/>
  <c r="H54" i="22"/>
  <c r="I53" i="22"/>
  <c r="D50" i="22"/>
  <c r="C50" i="22"/>
  <c r="B50" i="22"/>
  <c r="F49" i="22"/>
  <c r="G49" i="22" s="1"/>
  <c r="H49" i="22" s="1"/>
  <c r="I49" i="22" s="1"/>
  <c r="E49" i="22"/>
  <c r="E48" i="22"/>
  <c r="E50" i="22" s="1"/>
  <c r="H47" i="22"/>
  <c r="I47" i="22" s="1"/>
  <c r="H46" i="22"/>
  <c r="I46" i="22" s="1"/>
  <c r="G45" i="22"/>
  <c r="H45" i="22" s="1"/>
  <c r="I44" i="22"/>
  <c r="D41" i="22"/>
  <c r="C41" i="22"/>
  <c r="B41" i="22"/>
  <c r="F40" i="22"/>
  <c r="G40" i="22" s="1"/>
  <c r="H40" i="22" s="1"/>
  <c r="I40" i="22" s="1"/>
  <c r="F39" i="22"/>
  <c r="F41" i="22" s="1"/>
  <c r="E39" i="22"/>
  <c r="E41" i="22" s="1"/>
  <c r="I38" i="22"/>
  <c r="H37" i="22"/>
  <c r="I37" i="22" s="1"/>
  <c r="I36" i="22"/>
  <c r="I35" i="22"/>
  <c r="D32" i="22"/>
  <c r="C32" i="22"/>
  <c r="B32" i="22"/>
  <c r="F31" i="22"/>
  <c r="E31" i="22"/>
  <c r="E227" i="22" s="1"/>
  <c r="E30" i="22"/>
  <c r="E32" i="22" s="1"/>
  <c r="H29" i="22"/>
  <c r="I29" i="22" s="1"/>
  <c r="G29" i="22"/>
  <c r="I28" i="22"/>
  <c r="H28" i="22"/>
  <c r="G27" i="22"/>
  <c r="I26" i="22"/>
  <c r="C23" i="22"/>
  <c r="C219" i="22" s="1"/>
  <c r="B23" i="22"/>
  <c r="G22" i="22"/>
  <c r="H22" i="22" s="1"/>
  <c r="F21" i="22"/>
  <c r="F23" i="22" s="1"/>
  <c r="E21" i="22"/>
  <c r="E23" i="22" s="1"/>
  <c r="I20" i="22"/>
  <c r="H20" i="22"/>
  <c r="H19" i="22"/>
  <c r="I18" i="22"/>
  <c r="H18" i="22"/>
  <c r="D17" i="22"/>
  <c r="D23" i="22" s="1"/>
  <c r="C48" i="23" l="1"/>
  <c r="D45" i="23" s="1"/>
  <c r="D48" i="23"/>
  <c r="E45" i="23" s="1"/>
  <c r="E48" i="23" s="1"/>
  <c r="F45" i="23" s="1"/>
  <c r="F48" i="23" s="1"/>
  <c r="H45" i="23" s="1"/>
  <c r="H48" i="23" s="1"/>
  <c r="I45" i="23" s="1"/>
  <c r="I33" i="23"/>
  <c r="I35" i="23" s="1"/>
  <c r="I42" i="23" s="1"/>
  <c r="J33" i="23"/>
  <c r="J35" i="23" s="1"/>
  <c r="J42" i="23" s="1"/>
  <c r="G109" i="22"/>
  <c r="F111" i="22"/>
  <c r="H67" i="22"/>
  <c r="I62" i="22"/>
  <c r="I67" i="22" s="1"/>
  <c r="G199" i="22"/>
  <c r="I97" i="22"/>
  <c r="I45" i="22"/>
  <c r="G57" i="22"/>
  <c r="F59" i="22"/>
  <c r="G92" i="22"/>
  <c r="H92" i="22" s="1"/>
  <c r="I92" i="22" s="1"/>
  <c r="F94" i="22"/>
  <c r="F98" i="22"/>
  <c r="E223" i="22"/>
  <c r="B229" i="22"/>
  <c r="F227" i="22"/>
  <c r="F191" i="22"/>
  <c r="F199" i="22"/>
  <c r="G195" i="22"/>
  <c r="H195" i="22" s="1"/>
  <c r="I195" i="22" s="1"/>
  <c r="G72" i="22"/>
  <c r="F224" i="22"/>
  <c r="H227" i="22"/>
  <c r="I22" i="22"/>
  <c r="I227" i="22" s="1"/>
  <c r="G94" i="22"/>
  <c r="I155" i="22"/>
  <c r="G203" i="22"/>
  <c r="F208" i="22"/>
  <c r="G31" i="22"/>
  <c r="H31" i="22" s="1"/>
  <c r="I31" i="22" s="1"/>
  <c r="F73" i="22"/>
  <c r="F76" i="22" s="1"/>
  <c r="F83" i="22"/>
  <c r="F93" i="22"/>
  <c r="G93" i="22" s="1"/>
  <c r="H93" i="22" s="1"/>
  <c r="I93" i="22" s="1"/>
  <c r="E100" i="22"/>
  <c r="F100" i="22" s="1"/>
  <c r="G100" i="22" s="1"/>
  <c r="H100" i="22" s="1"/>
  <c r="I100" i="22" s="1"/>
  <c r="I126" i="22"/>
  <c r="I144" i="22"/>
  <c r="E158" i="22"/>
  <c r="E164" i="22" s="1"/>
  <c r="G178" i="22"/>
  <c r="E193" i="22"/>
  <c r="E199" i="22" s="1"/>
  <c r="G212" i="22"/>
  <c r="H212" i="22" s="1"/>
  <c r="I212" i="22" s="1"/>
  <c r="E67" i="22"/>
  <c r="E76" i="22"/>
  <c r="D103" i="22"/>
  <c r="E155" i="22"/>
  <c r="D164" i="22"/>
  <c r="D219" i="22" s="1"/>
  <c r="H167" i="22"/>
  <c r="H173" i="22" s="1"/>
  <c r="D222" i="22"/>
  <c r="D223" i="22"/>
  <c r="G21" i="22"/>
  <c r="H27" i="22"/>
  <c r="F30" i="22"/>
  <c r="G39" i="22"/>
  <c r="F48" i="22"/>
  <c r="F67" i="22"/>
  <c r="F118" i="22"/>
  <c r="F127" i="22"/>
  <c r="F136" i="22"/>
  <c r="F145" i="22"/>
  <c r="F155" i="22"/>
  <c r="H158" i="22"/>
  <c r="E176" i="22"/>
  <c r="E182" i="22" s="1"/>
  <c r="G186" i="22"/>
  <c r="H193" i="22"/>
  <c r="H199" i="22" s="1"/>
  <c r="E224" i="22"/>
  <c r="E226" i="22"/>
  <c r="B103" i="22"/>
  <c r="B219" i="22" s="1"/>
  <c r="G67" i="22"/>
  <c r="H88" i="22"/>
  <c r="F164" i="22"/>
  <c r="E202" i="22"/>
  <c r="E208" i="22" s="1"/>
  <c r="E211" i="22"/>
  <c r="E217" i="22" s="1"/>
  <c r="H155" i="22"/>
  <c r="G164" i="22"/>
  <c r="H176" i="22"/>
  <c r="G227" i="22"/>
  <c r="E167" i="22"/>
  <c r="E173" i="22" s="1"/>
  <c r="H202" i="22"/>
  <c r="I48" i="23" l="1"/>
  <c r="J45" i="23" s="1"/>
  <c r="J48" i="23" s="1"/>
  <c r="G191" i="22"/>
  <c r="H186" i="22"/>
  <c r="E222" i="22"/>
  <c r="E229" i="22" s="1"/>
  <c r="G48" i="22"/>
  <c r="F50" i="22"/>
  <c r="H222" i="22"/>
  <c r="H57" i="22"/>
  <c r="G59" i="22"/>
  <c r="I88" i="22"/>
  <c r="H94" i="22"/>
  <c r="I211" i="22"/>
  <c r="I217" i="22" s="1"/>
  <c r="I202" i="22"/>
  <c r="I176" i="22"/>
  <c r="H164" i="22"/>
  <c r="I193" i="22"/>
  <c r="I199" i="22" s="1"/>
  <c r="I158" i="22"/>
  <c r="I164" i="22" s="1"/>
  <c r="I167" i="22"/>
  <c r="I173" i="22" s="1"/>
  <c r="I185" i="22"/>
  <c r="G41" i="22"/>
  <c r="H39" i="22"/>
  <c r="G182" i="22"/>
  <c r="H178" i="22"/>
  <c r="I178" i="22" s="1"/>
  <c r="G30" i="22"/>
  <c r="F32" i="22"/>
  <c r="G111" i="22"/>
  <c r="H109" i="22"/>
  <c r="F147" i="22"/>
  <c r="G145" i="22"/>
  <c r="I27" i="22"/>
  <c r="G217" i="22"/>
  <c r="F138" i="22"/>
  <c r="G136" i="22"/>
  <c r="G23" i="22"/>
  <c r="H21" i="22"/>
  <c r="H203" i="22"/>
  <c r="I203" i="22" s="1"/>
  <c r="G208" i="22"/>
  <c r="H72" i="22"/>
  <c r="G224" i="22"/>
  <c r="G98" i="22"/>
  <c r="F223" i="22"/>
  <c r="F103" i="22"/>
  <c r="E225" i="22"/>
  <c r="F85" i="22"/>
  <c r="G83" i="22"/>
  <c r="G226" i="22" s="1"/>
  <c r="F225" i="22"/>
  <c r="G73" i="22"/>
  <c r="F226" i="22"/>
  <c r="F129" i="22"/>
  <c r="G127" i="22"/>
  <c r="E103" i="22"/>
  <c r="E219" i="22" s="1"/>
  <c r="G118" i="22"/>
  <c r="F120" i="22"/>
  <c r="D229" i="22"/>
  <c r="H217" i="22"/>
  <c r="I21" i="22" l="1"/>
  <c r="H23" i="22"/>
  <c r="I182" i="22"/>
  <c r="H208" i="22"/>
  <c r="F229" i="22"/>
  <c r="H145" i="22"/>
  <c r="G147" i="22"/>
  <c r="H41" i="22"/>
  <c r="I39" i="22"/>
  <c r="I41" i="22" s="1"/>
  <c r="I208" i="22"/>
  <c r="H48" i="22"/>
  <c r="G50" i="22"/>
  <c r="H73" i="22"/>
  <c r="G225" i="22"/>
  <c r="H182" i="22"/>
  <c r="G76" i="22"/>
  <c r="H136" i="22"/>
  <c r="G138" i="22"/>
  <c r="I109" i="22"/>
  <c r="I111" i="22" s="1"/>
  <c r="H111" i="22"/>
  <c r="H98" i="22"/>
  <c r="G223" i="22"/>
  <c r="G229" i="22" s="1"/>
  <c r="G103" i="22"/>
  <c r="I191" i="22"/>
  <c r="H118" i="22"/>
  <c r="G120" i="22"/>
  <c r="H83" i="22"/>
  <c r="G85" i="22"/>
  <c r="I94" i="22"/>
  <c r="I222" i="22"/>
  <c r="I186" i="22"/>
  <c r="H191" i="22"/>
  <c r="I72" i="22"/>
  <c r="H76" i="22"/>
  <c r="H224" i="22"/>
  <c r="F219" i="22"/>
  <c r="G129" i="22"/>
  <c r="H127" i="22"/>
  <c r="H30" i="22"/>
  <c r="G32" i="22"/>
  <c r="G219" i="22" s="1"/>
  <c r="I57" i="22"/>
  <c r="I59" i="22" s="1"/>
  <c r="H59" i="22"/>
  <c r="H85" i="22" l="1"/>
  <c r="I83" i="22"/>
  <c r="I85" i="22" s="1"/>
  <c r="I224" i="22"/>
  <c r="I48" i="22"/>
  <c r="I50" i="22" s="1"/>
  <c r="H50" i="22"/>
  <c r="I118" i="22"/>
  <c r="I120" i="22" s="1"/>
  <c r="H120" i="22"/>
  <c r="I136" i="22"/>
  <c r="I138" i="22" s="1"/>
  <c r="H138" i="22"/>
  <c r="I30" i="22"/>
  <c r="I32" i="22" s="1"/>
  <c r="H32" i="22"/>
  <c r="H219" i="22" s="1"/>
  <c r="I127" i="22"/>
  <c r="I129" i="22" s="1"/>
  <c r="H129" i="22"/>
  <c r="I23" i="22"/>
  <c r="I98" i="22"/>
  <c r="H103" i="22"/>
  <c r="H223" i="22"/>
  <c r="I73" i="22"/>
  <c r="I225" i="22" s="1"/>
  <c r="H225" i="22"/>
  <c r="I145" i="22"/>
  <c r="I147" i="22" s="1"/>
  <c r="H147" i="22"/>
  <c r="H226" i="22"/>
  <c r="I226" i="22" l="1"/>
  <c r="H229" i="22"/>
  <c r="I103" i="22"/>
  <c r="I223" i="22"/>
  <c r="I229" i="22" s="1"/>
  <c r="I231" i="22" s="1"/>
  <c r="I239" i="22" s="1"/>
  <c r="I244" i="22" s="1"/>
  <c r="I76" i="22"/>
  <c r="I219" i="22" s="1"/>
  <c r="J41" i="6" l="1"/>
  <c r="J48" i="6" s="1"/>
  <c r="I41" i="6"/>
  <c r="I48" i="6" s="1"/>
  <c r="H41" i="6"/>
  <c r="H48" i="6" s="1"/>
  <c r="F39" i="6"/>
  <c r="E39" i="6"/>
  <c r="D39" i="6"/>
  <c r="D41" i="6" s="1"/>
  <c r="D48" i="6" s="1"/>
  <c r="D54" i="6" s="1"/>
  <c r="E51" i="6" s="1"/>
  <c r="B54" i="6"/>
  <c r="C51" i="6" s="1"/>
  <c r="C54" i="6" s="1"/>
  <c r="D51" i="6" s="1"/>
  <c r="B41" i="6"/>
  <c r="B39" i="6"/>
  <c r="C41" i="6"/>
  <c r="C48" i="6" s="1"/>
  <c r="C39" i="6"/>
  <c r="G9" i="6"/>
  <c r="G10" i="6"/>
  <c r="G11" i="6"/>
  <c r="B13" i="6"/>
  <c r="C13" i="6"/>
  <c r="D13" i="6"/>
  <c r="E13" i="6"/>
  <c r="F13" i="6"/>
  <c r="F41" i="6" l="1"/>
  <c r="F48" i="6" s="1"/>
  <c r="E41" i="6"/>
  <c r="E48" i="6" s="1"/>
  <c r="E54" i="6" s="1"/>
  <c r="F51" i="6" s="1"/>
  <c r="G13" i="6"/>
  <c r="A32" i="19"/>
  <c r="A28" i="19"/>
  <c r="A24" i="19"/>
  <c r="A20" i="19"/>
  <c r="D227" i="11"/>
  <c r="C215" i="11"/>
  <c r="D30" i="18"/>
  <c r="D105" i="8"/>
  <c r="D60" i="8"/>
  <c r="D15" i="17"/>
  <c r="D60" i="17"/>
  <c r="D51" i="17"/>
  <c r="D87" i="17"/>
  <c r="D105" i="17"/>
  <c r="D114" i="17"/>
  <c r="D123" i="17"/>
  <c r="F54" i="6" l="1"/>
  <c r="H51" i="6" s="1"/>
  <c r="H54" i="6" s="1"/>
  <c r="I51" i="6" s="1"/>
  <c r="I54" i="6" s="1"/>
  <c r="J51" i="6" s="1"/>
  <c r="J54" i="6" s="1"/>
  <c r="E11" i="21"/>
  <c r="E10" i="21"/>
  <c r="E9" i="21"/>
  <c r="E8" i="21"/>
  <c r="E7" i="21"/>
  <c r="E6" i="21"/>
  <c r="G32" i="21"/>
  <c r="G31" i="21"/>
  <c r="G30" i="21"/>
  <c r="G29" i="21"/>
  <c r="G28" i="21"/>
  <c r="G27" i="21"/>
  <c r="G26" i="21"/>
  <c r="G25" i="21"/>
  <c r="G24" i="21"/>
  <c r="G23" i="21"/>
  <c r="G22" i="21"/>
  <c r="G21" i="21"/>
  <c r="G20" i="21"/>
  <c r="G19" i="21"/>
  <c r="G18" i="21"/>
  <c r="G17" i="21"/>
  <c r="G16" i="21"/>
  <c r="G15" i="21"/>
  <c r="G14" i="21"/>
  <c r="G13" i="21"/>
  <c r="G12" i="21"/>
  <c r="G11" i="21"/>
  <c r="G10" i="21"/>
  <c r="G9" i="21"/>
  <c r="G8" i="21"/>
  <c r="G7" i="21"/>
  <c r="G6" i="21"/>
  <c r="D10" i="21"/>
  <c r="G43" i="21"/>
  <c r="G40" i="21"/>
  <c r="G36" i="21"/>
  <c r="S43" i="19"/>
  <c r="G42" i="21" s="1"/>
  <c r="C33" i="19"/>
  <c r="C32" i="19"/>
  <c r="C31" i="19"/>
  <c r="C30" i="19"/>
  <c r="C29" i="19"/>
  <c r="C28" i="19"/>
  <c r="C27" i="19"/>
  <c r="C26" i="19"/>
  <c r="C25" i="19"/>
  <c r="C24" i="19"/>
  <c r="C23" i="19"/>
  <c r="C22" i="19"/>
  <c r="C21" i="19"/>
  <c r="C20" i="19"/>
  <c r="C19" i="19"/>
  <c r="C15" i="19"/>
  <c r="C14" i="19"/>
  <c r="D32" i="19"/>
  <c r="D31" i="19"/>
  <c r="D30" i="19"/>
  <c r="D29" i="19"/>
  <c r="D28" i="19"/>
  <c r="D27" i="19"/>
  <c r="D26" i="19"/>
  <c r="D25" i="19"/>
  <c r="X25" i="19" s="1"/>
  <c r="D24" i="19"/>
  <c r="D23" i="19"/>
  <c r="D22" i="19"/>
  <c r="D21" i="19"/>
  <c r="D20" i="19"/>
  <c r="D19" i="19"/>
  <c r="D18" i="19"/>
  <c r="D17" i="19"/>
  <c r="D43" i="19" s="1"/>
  <c r="G37" i="21" s="1"/>
  <c r="D15" i="19"/>
  <c r="J30" i="19"/>
  <c r="J29" i="19"/>
  <c r="J28" i="19"/>
  <c r="J27" i="19"/>
  <c r="J26" i="19"/>
  <c r="J25" i="19"/>
  <c r="J24" i="19"/>
  <c r="J23" i="19"/>
  <c r="J22" i="19"/>
  <c r="J21" i="19"/>
  <c r="J20" i="19"/>
  <c r="J19" i="19"/>
  <c r="J18" i="19"/>
  <c r="J17" i="19"/>
  <c r="J16" i="19"/>
  <c r="X16" i="19" s="1"/>
  <c r="J15" i="19"/>
  <c r="O25" i="19"/>
  <c r="O24" i="19"/>
  <c r="O23" i="19"/>
  <c r="O22" i="19"/>
  <c r="O21" i="19"/>
  <c r="O20" i="19"/>
  <c r="O19" i="19"/>
  <c r="O18" i="19"/>
  <c r="O43" i="19" s="1"/>
  <c r="O17" i="19"/>
  <c r="O16" i="19"/>
  <c r="O15" i="19"/>
  <c r="X35" i="19"/>
  <c r="X21" i="19"/>
  <c r="X19" i="19"/>
  <c r="X20" i="19"/>
  <c r="X33" i="19"/>
  <c r="X24" i="19"/>
  <c r="X23" i="19"/>
  <c r="X22" i="19"/>
  <c r="X18" i="19"/>
  <c r="X15" i="19"/>
  <c r="X14" i="19"/>
  <c r="A15" i="19"/>
  <c r="E33" i="21"/>
  <c r="W43" i="19"/>
  <c r="V43" i="19"/>
  <c r="G45" i="21" s="1"/>
  <c r="U43" i="19"/>
  <c r="G44" i="21" s="1"/>
  <c r="T43" i="19"/>
  <c r="R43" i="19"/>
  <c r="Q43" i="19"/>
  <c r="N43" i="19"/>
  <c r="M43" i="19"/>
  <c r="L43" i="19"/>
  <c r="K43" i="19"/>
  <c r="I43" i="19"/>
  <c r="H43" i="19"/>
  <c r="F43" i="19"/>
  <c r="E43" i="19"/>
  <c r="C43" i="19"/>
  <c r="C33" i="21" l="1"/>
  <c r="X26" i="19"/>
  <c r="X36" i="19"/>
  <c r="X37" i="19"/>
  <c r="X38" i="19"/>
  <c r="X32" i="19"/>
  <c r="P43" i="19"/>
  <c r="G41" i="21" s="1"/>
  <c r="X17" i="19"/>
  <c r="X39" i="19"/>
  <c r="X40" i="19"/>
  <c r="X30" i="19"/>
  <c r="X31" i="19"/>
  <c r="X34" i="19"/>
  <c r="X28" i="19"/>
  <c r="G43" i="19"/>
  <c r="G38" i="21" s="1"/>
  <c r="X27" i="19"/>
  <c r="X41" i="19"/>
  <c r="X29" i="19"/>
  <c r="A16" i="19"/>
  <c r="A17" i="19" s="1"/>
  <c r="A18" i="19" s="1"/>
  <c r="A19" i="19" s="1"/>
  <c r="A21" i="19" s="1"/>
  <c r="A22" i="19" s="1"/>
  <c r="A23" i="19" s="1"/>
  <c r="A25" i="19" s="1"/>
  <c r="A26" i="19" s="1"/>
  <c r="A27" i="19" s="1"/>
  <c r="A29" i="19" s="1"/>
  <c r="A30" i="19" s="1"/>
  <c r="A31" i="19" s="1"/>
  <c r="A33" i="19" s="1"/>
  <c r="A34" i="19" s="1"/>
  <c r="A35" i="19" s="1"/>
  <c r="A36" i="19" s="1"/>
  <c r="A37" i="19" s="1"/>
  <c r="A38" i="19" s="1"/>
  <c r="A39" i="19" s="1"/>
  <c r="A40" i="19" s="1"/>
  <c r="A41" i="19" s="1"/>
  <c r="G33" i="21"/>
  <c r="J43" i="19"/>
  <c r="M22" i="18"/>
  <c r="K22" i="18"/>
  <c r="K20" i="18"/>
  <c r="J20" i="18"/>
  <c r="I20" i="18"/>
  <c r="H20" i="18"/>
  <c r="E21" i="18"/>
  <c r="E20" i="18"/>
  <c r="D20" i="18"/>
  <c r="K14" i="18"/>
  <c r="J14" i="18"/>
  <c r="I14" i="18"/>
  <c r="H14" i="18"/>
  <c r="E14" i="18"/>
  <c r="D14" i="18"/>
  <c r="C14" i="18"/>
  <c r="B14" i="18"/>
  <c r="G39" i="21" l="1"/>
  <c r="G46" i="21" s="1"/>
  <c r="X45" i="19"/>
  <c r="X43" i="19"/>
  <c r="F14" i="2"/>
  <c r="F14" i="18" l="1"/>
  <c r="O14" i="18" s="1"/>
  <c r="O44" i="18"/>
  <c r="O42" i="18"/>
  <c r="M36" i="18"/>
  <c r="L36" i="18"/>
  <c r="K36" i="18"/>
  <c r="J36" i="18"/>
  <c r="I36" i="18"/>
  <c r="H36" i="18"/>
  <c r="G36" i="18"/>
  <c r="F36" i="18"/>
  <c r="E36" i="18"/>
  <c r="D36" i="18"/>
  <c r="C36" i="18"/>
  <c r="B36" i="18"/>
  <c r="M35" i="18"/>
  <c r="L35" i="18"/>
  <c r="K35" i="18"/>
  <c r="J35" i="18"/>
  <c r="I35" i="18"/>
  <c r="H35" i="18"/>
  <c r="G35" i="18"/>
  <c r="F35" i="18"/>
  <c r="E35" i="18"/>
  <c r="D35" i="18"/>
  <c r="C35" i="18"/>
  <c r="B35" i="18"/>
  <c r="M28" i="18"/>
  <c r="L28" i="18"/>
  <c r="K28" i="18"/>
  <c r="J28" i="18"/>
  <c r="I28" i="18"/>
  <c r="H28" i="18"/>
  <c r="G28" i="18"/>
  <c r="F28" i="18"/>
  <c r="E28" i="18"/>
  <c r="D28" i="18"/>
  <c r="C28" i="18"/>
  <c r="B28" i="18"/>
  <c r="M27" i="18"/>
  <c r="L27" i="18"/>
  <c r="K27" i="18"/>
  <c r="J27" i="18"/>
  <c r="I27" i="18"/>
  <c r="H27" i="18"/>
  <c r="G27" i="18"/>
  <c r="F27" i="18"/>
  <c r="E27" i="18"/>
  <c r="D27" i="18"/>
  <c r="C27" i="18"/>
  <c r="B27" i="18"/>
  <c r="M26" i="18"/>
  <c r="M30" i="18" s="1"/>
  <c r="L26" i="18"/>
  <c r="K26" i="18"/>
  <c r="J26" i="18"/>
  <c r="I26" i="18"/>
  <c r="H26" i="18"/>
  <c r="G26" i="18"/>
  <c r="F26" i="18"/>
  <c r="E26" i="18"/>
  <c r="D26" i="18"/>
  <c r="C26" i="18"/>
  <c r="B26" i="18"/>
  <c r="L25" i="18"/>
  <c r="I25" i="18"/>
  <c r="H25" i="18"/>
  <c r="G25" i="18"/>
  <c r="F25" i="18"/>
  <c r="E25" i="18"/>
  <c r="D25" i="18"/>
  <c r="C25" i="18"/>
  <c r="L24" i="18"/>
  <c r="K24" i="18"/>
  <c r="J24" i="18"/>
  <c r="I24" i="18"/>
  <c r="H24" i="18"/>
  <c r="G24" i="18"/>
  <c r="E24" i="18"/>
  <c r="C24" i="18"/>
  <c r="B24" i="18"/>
  <c r="L23" i="18"/>
  <c r="K23" i="18"/>
  <c r="J23" i="18"/>
  <c r="I23" i="18"/>
  <c r="H23" i="18"/>
  <c r="G23" i="18"/>
  <c r="F23" i="18"/>
  <c r="E23" i="18"/>
  <c r="D23" i="18"/>
  <c r="C23" i="18"/>
  <c r="O23" i="18" s="1"/>
  <c r="B23" i="18"/>
  <c r="J22" i="18"/>
  <c r="I22" i="18"/>
  <c r="G22" i="18"/>
  <c r="E22" i="18"/>
  <c r="C22" i="18"/>
  <c r="L21" i="18"/>
  <c r="J21" i="18"/>
  <c r="I21" i="18"/>
  <c r="H21" i="18"/>
  <c r="G21" i="18"/>
  <c r="F21" i="18"/>
  <c r="D21" i="18"/>
  <c r="B21" i="18"/>
  <c r="L20" i="18"/>
  <c r="H30" i="18"/>
  <c r="G20" i="18"/>
  <c r="F20" i="18"/>
  <c r="I16" i="18"/>
  <c r="F16" i="18"/>
  <c r="M14" i="18"/>
  <c r="L14" i="18"/>
  <c r="G14" i="18"/>
  <c r="M13" i="18"/>
  <c r="L13" i="18"/>
  <c r="K13" i="18"/>
  <c r="K16" i="18" s="1"/>
  <c r="J13" i="18"/>
  <c r="I13" i="18"/>
  <c r="H13" i="18"/>
  <c r="G13" i="18"/>
  <c r="E13" i="18"/>
  <c r="D13" i="18"/>
  <c r="C13" i="18"/>
  <c r="B13" i="18"/>
  <c r="M12" i="18"/>
  <c r="M16" i="18" s="1"/>
  <c r="L12" i="18"/>
  <c r="K12" i="18"/>
  <c r="J12" i="18"/>
  <c r="I12" i="18"/>
  <c r="H12" i="18"/>
  <c r="H16" i="18" s="1"/>
  <c r="G12" i="18"/>
  <c r="G16" i="18" s="1"/>
  <c r="E12" i="18"/>
  <c r="E16" i="18" s="1"/>
  <c r="D12" i="18"/>
  <c r="D16" i="18" s="1"/>
  <c r="C12" i="18"/>
  <c r="B12" i="18"/>
  <c r="G33" i="18" l="1"/>
  <c r="G40" i="18" s="1"/>
  <c r="G46" i="18" s="1"/>
  <c r="K30" i="18"/>
  <c r="K33" i="18" s="1"/>
  <c r="K40" i="18" s="1"/>
  <c r="K46" i="18" s="1"/>
  <c r="I30" i="18"/>
  <c r="I33" i="18"/>
  <c r="I40" i="18" s="1"/>
  <c r="I46" i="18" s="1"/>
  <c r="L30" i="18"/>
  <c r="L33" i="18" s="1"/>
  <c r="L40" i="18" s="1"/>
  <c r="L46" i="18" s="1"/>
  <c r="O28" i="18"/>
  <c r="O36" i="18"/>
  <c r="E30" i="18"/>
  <c r="E33" i="18" s="1"/>
  <c r="E40" i="18" s="1"/>
  <c r="E46" i="18" s="1"/>
  <c r="O13" i="18"/>
  <c r="J30" i="18"/>
  <c r="O24" i="18"/>
  <c r="O21" i="18"/>
  <c r="J16" i="18"/>
  <c r="J33" i="18" s="1"/>
  <c r="J40" i="18" s="1"/>
  <c r="J46" i="18" s="1"/>
  <c r="O26" i="18"/>
  <c r="B16" i="18"/>
  <c r="O20" i="18"/>
  <c r="C16" i="18"/>
  <c r="C33" i="18" s="1"/>
  <c r="C40" i="18" s="1"/>
  <c r="C46" i="18" s="1"/>
  <c r="L16" i="18"/>
  <c r="G30" i="18"/>
  <c r="C30" i="18"/>
  <c r="O27" i="18"/>
  <c r="O35" i="18"/>
  <c r="D33" i="18"/>
  <c r="D40" i="18" s="1"/>
  <c r="D46" i="18" s="1"/>
  <c r="H33" i="18"/>
  <c r="H40" i="18" s="1"/>
  <c r="H46" i="18" s="1"/>
  <c r="M33" i="18"/>
  <c r="M40" i="18" s="1"/>
  <c r="M46" i="18" s="1"/>
  <c r="O12" i="18"/>
  <c r="O16" i="18" s="1"/>
  <c r="O22" i="18"/>
  <c r="O25" i="18"/>
  <c r="B30" i="18"/>
  <c r="F30" i="18"/>
  <c r="F33" i="18" s="1"/>
  <c r="F40" i="18" s="1"/>
  <c r="F46" i="18" s="1"/>
  <c r="D147" i="2"/>
  <c r="C147" i="2"/>
  <c r="D146" i="2"/>
  <c r="D145" i="2"/>
  <c r="D144" i="2"/>
  <c r="C144" i="2"/>
  <c r="D135" i="2"/>
  <c r="D128" i="2"/>
  <c r="C128" i="2"/>
  <c r="D118" i="2"/>
  <c r="C118" i="2"/>
  <c r="D111" i="2"/>
  <c r="C111" i="2"/>
  <c r="D110" i="2"/>
  <c r="C110" i="2"/>
  <c r="C108" i="2"/>
  <c r="D104" i="2"/>
  <c r="C104" i="2"/>
  <c r="D102" i="2"/>
  <c r="C102" i="2"/>
  <c r="D101" i="2"/>
  <c r="C101" i="2"/>
  <c r="D100" i="2"/>
  <c r="C100" i="2"/>
  <c r="C99" i="2"/>
  <c r="D95" i="2"/>
  <c r="C95" i="2"/>
  <c r="C93" i="2"/>
  <c r="C92" i="2"/>
  <c r="C91" i="2"/>
  <c r="B94" i="2"/>
  <c r="B95" i="2"/>
  <c r="D77" i="2"/>
  <c r="C77" i="2"/>
  <c r="D74" i="2"/>
  <c r="C74" i="2"/>
  <c r="D72" i="2"/>
  <c r="D66" i="2"/>
  <c r="C66" i="2"/>
  <c r="D65" i="2"/>
  <c r="C65" i="2"/>
  <c r="D64" i="2"/>
  <c r="C64" i="2"/>
  <c r="D57" i="2"/>
  <c r="C57" i="2"/>
  <c r="D56" i="2"/>
  <c r="C56" i="2"/>
  <c r="D55" i="2"/>
  <c r="C55" i="2"/>
  <c r="D54" i="2"/>
  <c r="C54" i="2"/>
  <c r="D48" i="2"/>
  <c r="C48" i="2"/>
  <c r="D47" i="2"/>
  <c r="C47" i="2"/>
  <c r="D46" i="2"/>
  <c r="C46" i="2"/>
  <c r="D40" i="2"/>
  <c r="D39" i="2"/>
  <c r="C39" i="2"/>
  <c r="D38" i="2"/>
  <c r="C38" i="2"/>
  <c r="D37" i="2"/>
  <c r="C37" i="2"/>
  <c r="D36" i="2"/>
  <c r="D30" i="2"/>
  <c r="C30" i="2"/>
  <c r="D29" i="2"/>
  <c r="C29" i="2"/>
  <c r="D28" i="2"/>
  <c r="C28" i="2"/>
  <c r="C27" i="2"/>
  <c r="D21" i="2"/>
  <c r="C21" i="2"/>
  <c r="D20" i="2"/>
  <c r="C20" i="2"/>
  <c r="D19" i="2"/>
  <c r="C19" i="2"/>
  <c r="D14" i="2"/>
  <c r="C14" i="2"/>
  <c r="D12" i="2"/>
  <c r="C12" i="2"/>
  <c r="D11" i="2"/>
  <c r="C11" i="2"/>
  <c r="D10" i="2"/>
  <c r="C10" i="2"/>
  <c r="C9" i="2"/>
  <c r="B33" i="18" l="1"/>
  <c r="B40" i="18" s="1"/>
  <c r="B46" i="18" s="1"/>
  <c r="O30" i="18"/>
  <c r="O33" i="18" s="1"/>
  <c r="O40" i="18" s="1"/>
  <c r="O46" i="18" s="1"/>
  <c r="D45" i="17"/>
  <c r="D108" i="17"/>
  <c r="D99" i="17"/>
  <c r="D99" i="2" s="1"/>
  <c r="D27" i="17"/>
  <c r="D27" i="2" s="1"/>
  <c r="D9" i="17"/>
  <c r="D9" i="2" s="1"/>
  <c r="D86" i="11"/>
  <c r="D108" i="2" l="1"/>
  <c r="D33" i="10"/>
  <c r="C32" i="10"/>
  <c r="B32" i="10"/>
  <c r="B24" i="10"/>
  <c r="E213" i="11"/>
  <c r="D213" i="11"/>
  <c r="C213" i="11"/>
  <c r="B213" i="11"/>
  <c r="E204" i="11"/>
  <c r="D204" i="11"/>
  <c r="C204" i="11"/>
  <c r="B204" i="11"/>
  <c r="E195" i="11"/>
  <c r="D195" i="11"/>
  <c r="C195" i="11"/>
  <c r="B195" i="11"/>
  <c r="E183" i="11"/>
  <c r="D183" i="11"/>
  <c r="C183" i="11"/>
  <c r="B183" i="11"/>
  <c r="E180" i="11"/>
  <c r="D180" i="11"/>
  <c r="C180" i="11"/>
  <c r="C186" i="11" s="1"/>
  <c r="B180" i="11"/>
  <c r="E177" i="11"/>
  <c r="D177" i="11"/>
  <c r="C177" i="11"/>
  <c r="B177" i="11"/>
  <c r="C168" i="11"/>
  <c r="B168" i="11"/>
  <c r="E167" i="11"/>
  <c r="E168" i="11" s="1"/>
  <c r="D168" i="11"/>
  <c r="E159" i="11"/>
  <c r="D159" i="11"/>
  <c r="C159" i="11"/>
  <c r="B159" i="11"/>
  <c r="E150" i="11"/>
  <c r="D150" i="11"/>
  <c r="C150" i="11"/>
  <c r="B150" i="11"/>
  <c r="E141" i="11"/>
  <c r="D141" i="11"/>
  <c r="C141" i="11"/>
  <c r="B141" i="11"/>
  <c r="E132" i="11"/>
  <c r="D132" i="11"/>
  <c r="C132" i="11"/>
  <c r="B132" i="11"/>
  <c r="E123" i="11"/>
  <c r="D123" i="11"/>
  <c r="C123" i="11"/>
  <c r="B123" i="11"/>
  <c r="E114" i="11"/>
  <c r="D114" i="11"/>
  <c r="C114" i="11"/>
  <c r="B114" i="11"/>
  <c r="E105" i="11"/>
  <c r="D105" i="11"/>
  <c r="C105" i="11"/>
  <c r="B105" i="11"/>
  <c r="E96" i="11"/>
  <c r="D96" i="11"/>
  <c r="C96" i="11"/>
  <c r="B96" i="11"/>
  <c r="E87" i="11"/>
  <c r="D87" i="11"/>
  <c r="C87" i="11"/>
  <c r="B87" i="11"/>
  <c r="E78" i="11"/>
  <c r="D78" i="11"/>
  <c r="C78" i="11"/>
  <c r="B78" i="11"/>
  <c r="E69" i="11"/>
  <c r="D69" i="11"/>
  <c r="C69" i="11"/>
  <c r="B69" i="11"/>
  <c r="E60" i="11"/>
  <c r="D60" i="11"/>
  <c r="C60" i="11"/>
  <c r="B60" i="11"/>
  <c r="E51" i="11"/>
  <c r="D51" i="11"/>
  <c r="C51" i="11"/>
  <c r="B51" i="11"/>
  <c r="E42" i="11"/>
  <c r="D42" i="11"/>
  <c r="C42" i="11"/>
  <c r="B42" i="11"/>
  <c r="E33" i="11"/>
  <c r="D33" i="11"/>
  <c r="C33" i="11"/>
  <c r="B33" i="11"/>
  <c r="E24" i="11"/>
  <c r="D24" i="11"/>
  <c r="C24" i="11"/>
  <c r="B24" i="11"/>
  <c r="E15" i="11"/>
  <c r="D15" i="11"/>
  <c r="C15" i="11"/>
  <c r="B15" i="11"/>
  <c r="C33" i="7"/>
  <c r="C32" i="7"/>
  <c r="B32" i="7"/>
  <c r="E11" i="7"/>
  <c r="D11" i="7"/>
  <c r="C11" i="7"/>
  <c r="B11" i="7"/>
  <c r="E10" i="7"/>
  <c r="E9" i="7"/>
  <c r="B186" i="11" l="1"/>
  <c r="B215" i="11" s="1"/>
  <c r="D186" i="11"/>
  <c r="D215" i="11" s="1"/>
  <c r="E186" i="11"/>
  <c r="E215" i="11" s="1"/>
  <c r="E212" i="8"/>
  <c r="E211" i="8"/>
  <c r="E210" i="8"/>
  <c r="E209" i="8"/>
  <c r="E208" i="8"/>
  <c r="E207" i="8"/>
  <c r="E203" i="8"/>
  <c r="E202" i="8"/>
  <c r="E201" i="8"/>
  <c r="E200" i="8"/>
  <c r="E199" i="8"/>
  <c r="E198" i="8"/>
  <c r="E194" i="8"/>
  <c r="E193" i="8"/>
  <c r="E192" i="8"/>
  <c r="E191" i="8"/>
  <c r="E190" i="8"/>
  <c r="E189" i="8"/>
  <c r="E185" i="8"/>
  <c r="E184" i="8"/>
  <c r="E183" i="8"/>
  <c r="E182" i="8"/>
  <c r="E181" i="8"/>
  <c r="E180" i="8"/>
  <c r="E176" i="8"/>
  <c r="E175" i="8"/>
  <c r="E174" i="8"/>
  <c r="E173" i="8"/>
  <c r="E172" i="8"/>
  <c r="E171" i="8"/>
  <c r="E167" i="8"/>
  <c r="E166" i="8"/>
  <c r="E165" i="8"/>
  <c r="E164" i="8"/>
  <c r="E163" i="8"/>
  <c r="E162" i="8"/>
  <c r="E158" i="8"/>
  <c r="E157" i="8"/>
  <c r="E157" i="2" s="1"/>
  <c r="E156" i="8"/>
  <c r="E155" i="8"/>
  <c r="E154" i="8"/>
  <c r="E153" i="8"/>
  <c r="E150" i="8"/>
  <c r="E149" i="8"/>
  <c r="E148" i="8"/>
  <c r="E140" i="8"/>
  <c r="E139" i="8"/>
  <c r="E138" i="8"/>
  <c r="E137" i="8"/>
  <c r="E136" i="8"/>
  <c r="E131" i="8"/>
  <c r="E130" i="8"/>
  <c r="E129" i="8"/>
  <c r="E128" i="8"/>
  <c r="E127" i="8"/>
  <c r="E126" i="8"/>
  <c r="E122" i="8"/>
  <c r="E121" i="8"/>
  <c r="E120" i="8"/>
  <c r="E119" i="8"/>
  <c r="E123" i="8" s="1"/>
  <c r="E117" i="8"/>
  <c r="E113" i="8"/>
  <c r="E112" i="8"/>
  <c r="E111" i="8"/>
  <c r="E110" i="8"/>
  <c r="E109" i="8"/>
  <c r="E108" i="8"/>
  <c r="E104" i="8"/>
  <c r="E103" i="8"/>
  <c r="E101" i="8"/>
  <c r="E100" i="8"/>
  <c r="E99" i="8"/>
  <c r="E95" i="8"/>
  <c r="E94" i="8"/>
  <c r="E93" i="8"/>
  <c r="E90" i="8"/>
  <c r="E86" i="8"/>
  <c r="E85" i="8"/>
  <c r="E84" i="8"/>
  <c r="E83" i="8"/>
  <c r="E82" i="8"/>
  <c r="E81" i="8"/>
  <c r="E77" i="8"/>
  <c r="E76" i="8"/>
  <c r="E75" i="8"/>
  <c r="E74" i="8"/>
  <c r="E73" i="8"/>
  <c r="E72" i="8"/>
  <c r="E68" i="8"/>
  <c r="E67" i="8"/>
  <c r="E66" i="8"/>
  <c r="E65" i="8"/>
  <c r="E63" i="8"/>
  <c r="E59" i="8"/>
  <c r="E58" i="8"/>
  <c r="E55" i="8"/>
  <c r="E50" i="8"/>
  <c r="E49" i="8"/>
  <c r="E48" i="8"/>
  <c r="E46" i="8"/>
  <c r="E45" i="8"/>
  <c r="E41" i="8"/>
  <c r="E40" i="8"/>
  <c r="E38" i="8"/>
  <c r="E37" i="8"/>
  <c r="E36" i="8"/>
  <c r="E32" i="8"/>
  <c r="E31" i="8"/>
  <c r="E23" i="8"/>
  <c r="E22" i="8"/>
  <c r="E21" i="8"/>
  <c r="E20" i="8"/>
  <c r="E19" i="8"/>
  <c r="E18" i="8"/>
  <c r="E15" i="8"/>
  <c r="E14" i="8"/>
  <c r="E13" i="8"/>
  <c r="E60" i="8" l="1"/>
  <c r="E141" i="8"/>
  <c r="E159" i="8"/>
  <c r="E33" i="8"/>
  <c r="E51" i="8"/>
  <c r="E114" i="8"/>
  <c r="E132" i="8"/>
  <c r="E204" i="8"/>
  <c r="E105" i="8"/>
  <c r="E195" i="8"/>
  <c r="E24" i="8"/>
  <c r="E42" i="8"/>
  <c r="E96" i="8"/>
  <c r="E186" i="8"/>
  <c r="E213" i="8"/>
  <c r="E78" i="8"/>
  <c r="E177" i="8"/>
  <c r="E69" i="8"/>
  <c r="E87" i="8"/>
  <c r="E168" i="8"/>
  <c r="C212" i="8"/>
  <c r="C212" i="2" s="1"/>
  <c r="C211" i="8"/>
  <c r="C211" i="2" s="1"/>
  <c r="C210" i="8"/>
  <c r="C210" i="2" s="1"/>
  <c r="C209" i="8"/>
  <c r="C208" i="8"/>
  <c r="C208" i="2" s="1"/>
  <c r="C207" i="8"/>
  <c r="C207" i="2" s="1"/>
  <c r="C203" i="8"/>
  <c r="C202" i="8"/>
  <c r="C201" i="8"/>
  <c r="C200" i="8"/>
  <c r="C199" i="8"/>
  <c r="C198" i="8"/>
  <c r="C194" i="8"/>
  <c r="C194" i="2" s="1"/>
  <c r="C193" i="8"/>
  <c r="C193" i="2" s="1"/>
  <c r="C192" i="8"/>
  <c r="C192" i="2" s="1"/>
  <c r="C191" i="8"/>
  <c r="C191" i="2" s="1"/>
  <c r="C190" i="8"/>
  <c r="C190" i="2" s="1"/>
  <c r="C189" i="8"/>
  <c r="C185" i="8"/>
  <c r="C185" i="2" s="1"/>
  <c r="C184" i="8"/>
  <c r="C184" i="2" s="1"/>
  <c r="C182" i="8"/>
  <c r="C181" i="8"/>
  <c r="C181" i="2" s="1"/>
  <c r="C180" i="8"/>
  <c r="C176" i="8"/>
  <c r="C176" i="2" s="1"/>
  <c r="C175" i="8"/>
  <c r="C175" i="2" s="1"/>
  <c r="C174" i="8"/>
  <c r="C174" i="2" s="1"/>
  <c r="C173" i="8"/>
  <c r="C173" i="2" s="1"/>
  <c r="C172" i="8"/>
  <c r="C171" i="8"/>
  <c r="C171" i="2" s="1"/>
  <c r="C167" i="8"/>
  <c r="C167" i="2" s="1"/>
  <c r="C166" i="8"/>
  <c r="C166" i="2" s="1"/>
  <c r="C165" i="8"/>
  <c r="C165" i="2" s="1"/>
  <c r="C164" i="8"/>
  <c r="C164" i="2" s="1"/>
  <c r="C163" i="8"/>
  <c r="C163" i="2" s="1"/>
  <c r="C162" i="8"/>
  <c r="C158" i="8"/>
  <c r="C157" i="8"/>
  <c r="C157" i="2" s="1"/>
  <c r="C156" i="8"/>
  <c r="C155" i="8"/>
  <c r="C154" i="8"/>
  <c r="C153" i="8"/>
  <c r="C149" i="8"/>
  <c r="C149" i="2" s="1"/>
  <c r="C148" i="8"/>
  <c r="C148" i="2" s="1"/>
  <c r="C146" i="8"/>
  <c r="C146" i="2" s="1"/>
  <c r="C145" i="8"/>
  <c r="C140" i="8"/>
  <c r="C140" i="2" s="1"/>
  <c r="C139" i="8"/>
  <c r="C139" i="2" s="1"/>
  <c r="C138" i="8"/>
  <c r="C138" i="2" s="1"/>
  <c r="C137" i="8"/>
  <c r="C136" i="8"/>
  <c r="C136" i="2" s="1"/>
  <c r="C135" i="8"/>
  <c r="C135" i="2" s="1"/>
  <c r="C131" i="8"/>
  <c r="C131" i="2" s="1"/>
  <c r="C130" i="8"/>
  <c r="C130" i="2" s="1"/>
  <c r="C129" i="8"/>
  <c r="C129" i="2" s="1"/>
  <c r="C127" i="8"/>
  <c r="C127" i="2" s="1"/>
  <c r="C126" i="8"/>
  <c r="C126" i="2" s="1"/>
  <c r="C122" i="8"/>
  <c r="C122" i="2" s="1"/>
  <c r="C121" i="8"/>
  <c r="C121" i="2" s="1"/>
  <c r="C120" i="8"/>
  <c r="C120" i="2" s="1"/>
  <c r="C119" i="8"/>
  <c r="C119" i="2" s="1"/>
  <c r="C117" i="8"/>
  <c r="C113" i="8"/>
  <c r="C113" i="2" s="1"/>
  <c r="C112" i="8"/>
  <c r="C112" i="2" s="1"/>
  <c r="C109" i="8"/>
  <c r="C109" i="2" s="1"/>
  <c r="C103" i="8"/>
  <c r="C103" i="2" s="1"/>
  <c r="C94" i="8"/>
  <c r="C94" i="2" s="1"/>
  <c r="C90" i="8"/>
  <c r="C86" i="8"/>
  <c r="C86" i="2" s="1"/>
  <c r="C85" i="8"/>
  <c r="C85" i="2" s="1"/>
  <c r="C84" i="8"/>
  <c r="C84" i="2" s="1"/>
  <c r="C83" i="8"/>
  <c r="C83" i="2" s="1"/>
  <c r="C82" i="8"/>
  <c r="C82" i="2" s="1"/>
  <c r="C81" i="8"/>
  <c r="C76" i="8"/>
  <c r="C76" i="2" s="1"/>
  <c r="C75" i="8"/>
  <c r="C75" i="2" s="1"/>
  <c r="C73" i="8"/>
  <c r="C73" i="2" s="1"/>
  <c r="C72" i="8"/>
  <c r="C68" i="8"/>
  <c r="C68" i="2" s="1"/>
  <c r="C67" i="8"/>
  <c r="C67" i="2" s="1"/>
  <c r="C63" i="8"/>
  <c r="C60" i="8"/>
  <c r="C59" i="8"/>
  <c r="C59" i="2" s="1"/>
  <c r="C58" i="8"/>
  <c r="C58" i="2" s="1"/>
  <c r="C50" i="8"/>
  <c r="C50" i="2" s="1"/>
  <c r="C49" i="8"/>
  <c r="C49" i="2" s="1"/>
  <c r="C45" i="8"/>
  <c r="C45" i="2" s="1"/>
  <c r="C41" i="8"/>
  <c r="C41" i="2" s="1"/>
  <c r="C40" i="8"/>
  <c r="C40" i="2" s="1"/>
  <c r="C36" i="8"/>
  <c r="C36" i="2" s="1"/>
  <c r="C32" i="8"/>
  <c r="C32" i="2" s="1"/>
  <c r="C31" i="8"/>
  <c r="C31" i="2" s="1"/>
  <c r="C23" i="8"/>
  <c r="C22" i="8"/>
  <c r="C22" i="2" s="1"/>
  <c r="C18" i="8"/>
  <c r="C18" i="2" s="1"/>
  <c r="C13" i="8"/>
  <c r="B210" i="8"/>
  <c r="B209" i="8"/>
  <c r="B208" i="8"/>
  <c r="B207" i="8"/>
  <c r="B201" i="8"/>
  <c r="B200" i="8"/>
  <c r="B199" i="8"/>
  <c r="B198" i="8"/>
  <c r="B192" i="8"/>
  <c r="B191" i="8"/>
  <c r="B190" i="8"/>
  <c r="B189" i="8"/>
  <c r="B195" i="8" s="1"/>
  <c r="B180" i="8"/>
  <c r="B186" i="8" s="1"/>
  <c r="B174" i="8"/>
  <c r="B177" i="8" s="1"/>
  <c r="B173" i="8"/>
  <c r="B172" i="8"/>
  <c r="B171" i="8"/>
  <c r="B165" i="8"/>
  <c r="B164" i="8"/>
  <c r="B163" i="8"/>
  <c r="B162" i="8"/>
  <c r="B156" i="8"/>
  <c r="B155" i="8"/>
  <c r="B154" i="8"/>
  <c r="B153" i="8"/>
  <c r="B150" i="8"/>
  <c r="B138" i="8"/>
  <c r="B137" i="8"/>
  <c r="B135" i="8"/>
  <c r="B129" i="8"/>
  <c r="B126" i="8"/>
  <c r="B120" i="8"/>
  <c r="B123" i="8" s="1"/>
  <c r="B108" i="8"/>
  <c r="B114" i="8" s="1"/>
  <c r="B105" i="8"/>
  <c r="B96" i="8"/>
  <c r="B84" i="8"/>
  <c r="B83" i="8"/>
  <c r="B82" i="8"/>
  <c r="B81" i="8"/>
  <c r="B72" i="8"/>
  <c r="B78" i="8" s="1"/>
  <c r="B69" i="8"/>
  <c r="B60" i="8"/>
  <c r="B51" i="8"/>
  <c r="B42" i="8"/>
  <c r="B33" i="8"/>
  <c r="B24" i="8"/>
  <c r="B15" i="8"/>
  <c r="F141" i="17"/>
  <c r="F123" i="17"/>
  <c r="E215" i="8" l="1"/>
  <c r="C42" i="8"/>
  <c r="C69" i="8"/>
  <c r="C63" i="2"/>
  <c r="C105" i="8"/>
  <c r="C168" i="8"/>
  <c r="C162" i="2"/>
  <c r="B141" i="8"/>
  <c r="C141" i="8"/>
  <c r="C137" i="2"/>
  <c r="C159" i="8"/>
  <c r="B159" i="8"/>
  <c r="B213" i="8"/>
  <c r="C33" i="8"/>
  <c r="C51" i="8"/>
  <c r="C114" i="8"/>
  <c r="B87" i="8"/>
  <c r="C96" i="8"/>
  <c r="C90" i="2"/>
  <c r="C123" i="8"/>
  <c r="C117" i="2"/>
  <c r="B132" i="8"/>
  <c r="B204" i="8"/>
  <c r="B215" i="8" s="1"/>
  <c r="C15" i="8"/>
  <c r="C13" i="2"/>
  <c r="C150" i="8"/>
  <c r="C145" i="2"/>
  <c r="C186" i="8"/>
  <c r="C182" i="2"/>
  <c r="C87" i="8"/>
  <c r="C81" i="2"/>
  <c r="C132" i="8"/>
  <c r="C177" i="8"/>
  <c r="C172" i="2"/>
  <c r="C213" i="8"/>
  <c r="C209" i="2"/>
  <c r="C78" i="8"/>
  <c r="C72" i="2"/>
  <c r="B168" i="8"/>
  <c r="C204" i="8"/>
  <c r="C24" i="8"/>
  <c r="C23" i="2"/>
  <c r="C195" i="8"/>
  <c r="C189" i="2"/>
  <c r="C215" i="8"/>
  <c r="B32" i="5" l="1"/>
  <c r="E13" i="5"/>
  <c r="D13" i="5"/>
  <c r="C13" i="5"/>
  <c r="B13" i="5"/>
  <c r="E225" i="17"/>
  <c r="D225" i="17"/>
  <c r="B225" i="17"/>
  <c r="E224" i="17"/>
  <c r="D224" i="17"/>
  <c r="B224" i="17"/>
  <c r="E213" i="17"/>
  <c r="D213" i="17"/>
  <c r="C213" i="17"/>
  <c r="B213" i="17"/>
  <c r="E204" i="17"/>
  <c r="D204" i="17"/>
  <c r="C204" i="17"/>
  <c r="B204" i="17"/>
  <c r="E195" i="17"/>
  <c r="D195" i="17"/>
  <c r="C195" i="17"/>
  <c r="B195" i="17"/>
  <c r="B186" i="17"/>
  <c r="E180" i="17"/>
  <c r="D180" i="17"/>
  <c r="C180" i="17"/>
  <c r="C220" i="17" s="1"/>
  <c r="C227" i="17" s="1"/>
  <c r="B180" i="17"/>
  <c r="E177" i="17"/>
  <c r="D177" i="17"/>
  <c r="C177" i="17"/>
  <c r="B177" i="17"/>
  <c r="E168" i="17"/>
  <c r="D168" i="17"/>
  <c r="C168" i="17"/>
  <c r="B168" i="17"/>
  <c r="E156" i="17"/>
  <c r="D156" i="17"/>
  <c r="B156" i="17"/>
  <c r="E155" i="17"/>
  <c r="D155" i="17"/>
  <c r="B155" i="17"/>
  <c r="E154" i="17"/>
  <c r="D154" i="17"/>
  <c r="B154" i="17"/>
  <c r="E153" i="17"/>
  <c r="E220" i="17" s="1"/>
  <c r="D153" i="17"/>
  <c r="C159" i="17"/>
  <c r="B153" i="17"/>
  <c r="B220" i="17" s="1"/>
  <c r="E150" i="17"/>
  <c r="D150" i="17"/>
  <c r="C150" i="17"/>
  <c r="B150" i="17"/>
  <c r="E141" i="17"/>
  <c r="D141" i="17"/>
  <c r="C141" i="17"/>
  <c r="B141" i="17"/>
  <c r="E132" i="17"/>
  <c r="D132" i="17"/>
  <c r="C132" i="17"/>
  <c r="B132" i="17"/>
  <c r="E123" i="17"/>
  <c r="C123" i="17"/>
  <c r="B123" i="17"/>
  <c r="E114" i="17"/>
  <c r="C114" i="17"/>
  <c r="B114" i="17"/>
  <c r="E105" i="17"/>
  <c r="C105" i="17"/>
  <c r="B105" i="17"/>
  <c r="C225" i="17"/>
  <c r="C224" i="17"/>
  <c r="E93" i="17"/>
  <c r="D93" i="17"/>
  <c r="C223" i="17"/>
  <c r="B93" i="17"/>
  <c r="B93" i="2" s="1"/>
  <c r="E92" i="17"/>
  <c r="D92" i="17"/>
  <c r="C222" i="17"/>
  <c r="B92" i="17"/>
  <c r="E91" i="17"/>
  <c r="D91" i="17"/>
  <c r="C221" i="17"/>
  <c r="B91" i="17"/>
  <c r="B221" i="17" s="1"/>
  <c r="E87" i="17"/>
  <c r="C87" i="17"/>
  <c r="B87" i="17"/>
  <c r="E78" i="17"/>
  <c r="D78" i="17"/>
  <c r="C78" i="17"/>
  <c r="B78" i="17"/>
  <c r="E69" i="17"/>
  <c r="D69" i="17"/>
  <c r="C69" i="17"/>
  <c r="B69" i="17"/>
  <c r="E60" i="17"/>
  <c r="C60" i="17"/>
  <c r="B60" i="17"/>
  <c r="E51" i="17"/>
  <c r="C51" i="17"/>
  <c r="B51" i="17"/>
  <c r="E42" i="17"/>
  <c r="D42" i="17"/>
  <c r="C42" i="17"/>
  <c r="B42" i="17"/>
  <c r="E33" i="17"/>
  <c r="D33" i="17"/>
  <c r="C33" i="17"/>
  <c r="B33" i="17"/>
  <c r="E24" i="17"/>
  <c r="D24" i="17"/>
  <c r="C24" i="17"/>
  <c r="B24" i="17"/>
  <c r="E15" i="17"/>
  <c r="C15" i="17"/>
  <c r="B15" i="17"/>
  <c r="B223" i="17" l="1"/>
  <c r="B222" i="17"/>
  <c r="B92" i="2"/>
  <c r="E186" i="17"/>
  <c r="D96" i="17"/>
  <c r="D215" i="17" s="1"/>
  <c r="D91" i="2"/>
  <c r="D220" i="17"/>
  <c r="D223" i="17"/>
  <c r="D93" i="2"/>
  <c r="C186" i="17"/>
  <c r="E222" i="17"/>
  <c r="E96" i="17"/>
  <c r="B96" i="17"/>
  <c r="B91" i="2"/>
  <c r="B159" i="17"/>
  <c r="E223" i="17"/>
  <c r="D186" i="17"/>
  <c r="D222" i="17"/>
  <c r="D92" i="2"/>
  <c r="B227" i="17"/>
  <c r="D159" i="17"/>
  <c r="D221" i="17"/>
  <c r="C96" i="17"/>
  <c r="C215" i="17" s="1"/>
  <c r="E159" i="17"/>
  <c r="E221" i="17"/>
  <c r="E227" i="17" s="1"/>
  <c r="G32" i="10"/>
  <c r="C225" i="11"/>
  <c r="B225" i="11"/>
  <c r="E224" i="11"/>
  <c r="D224" i="11"/>
  <c r="C224" i="11"/>
  <c r="B224" i="11"/>
  <c r="E222" i="11"/>
  <c r="D222" i="11"/>
  <c r="C222" i="11"/>
  <c r="B222" i="11"/>
  <c r="E221" i="11"/>
  <c r="D221" i="11"/>
  <c r="C221" i="11"/>
  <c r="B221" i="11"/>
  <c r="D223" i="11"/>
  <c r="C223" i="11"/>
  <c r="B223" i="11"/>
  <c r="D220" i="11"/>
  <c r="C220" i="11"/>
  <c r="B220" i="11"/>
  <c r="D25" i="10"/>
  <c r="E225" i="11"/>
  <c r="D225" i="11"/>
  <c r="B21" i="10"/>
  <c r="B20" i="10"/>
  <c r="E19" i="10"/>
  <c r="D19" i="10"/>
  <c r="B19" i="10"/>
  <c r="E18" i="10"/>
  <c r="B18" i="10"/>
  <c r="B17" i="10"/>
  <c r="C24" i="10"/>
  <c r="E23" i="10"/>
  <c r="D23" i="10"/>
  <c r="C23" i="10"/>
  <c r="B23" i="10"/>
  <c r="E22" i="10"/>
  <c r="D22" i="10"/>
  <c r="C22" i="10"/>
  <c r="B22" i="10"/>
  <c r="E21" i="10"/>
  <c r="D21" i="10"/>
  <c r="E20" i="10"/>
  <c r="D20" i="10"/>
  <c r="C20" i="10"/>
  <c r="D18" i="10"/>
  <c r="C18" i="10"/>
  <c r="D17" i="10"/>
  <c r="E13" i="10"/>
  <c r="C13" i="10"/>
  <c r="B13" i="10"/>
  <c r="D13" i="10"/>
  <c r="G33" i="7"/>
  <c r="E32" i="7"/>
  <c r="E33" i="7"/>
  <c r="D225" i="9"/>
  <c r="C225" i="9"/>
  <c r="B225" i="9"/>
  <c r="B224" i="9"/>
  <c r="D223" i="9"/>
  <c r="C223" i="9"/>
  <c r="B223" i="9"/>
  <c r="D222" i="9"/>
  <c r="C222" i="9"/>
  <c r="B222" i="9"/>
  <c r="D221" i="9"/>
  <c r="C221" i="9"/>
  <c r="B221" i="9"/>
  <c r="D220" i="9"/>
  <c r="C220" i="9"/>
  <c r="B220" i="9"/>
  <c r="D213" i="9"/>
  <c r="C213" i="9"/>
  <c r="B213" i="9"/>
  <c r="E212" i="9"/>
  <c r="E212" i="2" s="1"/>
  <c r="E211" i="9"/>
  <c r="E211" i="2" s="1"/>
  <c r="E210" i="9"/>
  <c r="E210" i="2" s="1"/>
  <c r="E209" i="9"/>
  <c r="E209" i="2" s="1"/>
  <c r="E208" i="9"/>
  <c r="E208" i="2" s="1"/>
  <c r="E207" i="9"/>
  <c r="E207" i="2" s="1"/>
  <c r="D204" i="9"/>
  <c r="C204" i="9"/>
  <c r="B204" i="9"/>
  <c r="E203" i="9"/>
  <c r="E203" i="2" s="1"/>
  <c r="E202" i="9"/>
  <c r="E201" i="9"/>
  <c r="E200" i="9"/>
  <c r="E199" i="9"/>
  <c r="E199" i="2" s="1"/>
  <c r="E198" i="9"/>
  <c r="D195" i="9"/>
  <c r="C195" i="9"/>
  <c r="B195" i="9"/>
  <c r="B195" i="2" s="1"/>
  <c r="E194" i="9"/>
  <c r="E194" i="2" s="1"/>
  <c r="E193" i="9"/>
  <c r="E193" i="2" s="1"/>
  <c r="E192" i="9"/>
  <c r="E192" i="2" s="1"/>
  <c r="E191" i="9"/>
  <c r="E191" i="2" s="1"/>
  <c r="E190" i="9"/>
  <c r="E190" i="2" s="1"/>
  <c r="E189" i="9"/>
  <c r="E189" i="2" s="1"/>
  <c r="E185" i="9"/>
  <c r="E185" i="2" s="1"/>
  <c r="E184" i="9"/>
  <c r="E184" i="2" s="1"/>
  <c r="E183" i="9"/>
  <c r="E183" i="2" s="1"/>
  <c r="D183" i="9"/>
  <c r="D183" i="2" s="1"/>
  <c r="C183" i="9"/>
  <c r="C183" i="2" s="1"/>
  <c r="B183" i="9"/>
  <c r="B183" i="2" s="1"/>
  <c r="E182" i="9"/>
  <c r="E182" i="2" s="1"/>
  <c r="E181" i="9"/>
  <c r="E181" i="2" s="1"/>
  <c r="E180" i="9"/>
  <c r="D180" i="9"/>
  <c r="D186" i="9" s="1"/>
  <c r="C180" i="9"/>
  <c r="C186" i="9" s="1"/>
  <c r="B180" i="9"/>
  <c r="D177" i="9"/>
  <c r="C177" i="9"/>
  <c r="B177" i="9"/>
  <c r="E176" i="9"/>
  <c r="E176" i="2" s="1"/>
  <c r="E175" i="9"/>
  <c r="E175" i="2" s="1"/>
  <c r="E174" i="9"/>
  <c r="E174" i="2" s="1"/>
  <c r="E173" i="9"/>
  <c r="E173" i="2" s="1"/>
  <c r="E172" i="9"/>
  <c r="E172" i="2" s="1"/>
  <c r="E171" i="9"/>
  <c r="E171" i="2" s="1"/>
  <c r="D168" i="9"/>
  <c r="C168" i="9"/>
  <c r="C24" i="7" s="1"/>
  <c r="B168" i="9"/>
  <c r="B24" i="7" s="1"/>
  <c r="E167" i="9"/>
  <c r="E167" i="2" s="1"/>
  <c r="E166" i="9"/>
  <c r="E166" i="2" s="1"/>
  <c r="E165" i="9"/>
  <c r="E165" i="2" s="1"/>
  <c r="E164" i="9"/>
  <c r="E164" i="2" s="1"/>
  <c r="E163" i="9"/>
  <c r="E163" i="2" s="1"/>
  <c r="E162" i="9"/>
  <c r="E162" i="2" s="1"/>
  <c r="D159" i="9"/>
  <c r="D23" i="7" s="1"/>
  <c r="B159" i="9"/>
  <c r="E158" i="9"/>
  <c r="E158" i="2" s="1"/>
  <c r="D224" i="9"/>
  <c r="C159" i="9"/>
  <c r="C23" i="7" s="1"/>
  <c r="E156" i="9"/>
  <c r="E155" i="9"/>
  <c r="E154" i="9"/>
  <c r="E153" i="9"/>
  <c r="D150" i="9"/>
  <c r="D22" i="7"/>
  <c r="C150" i="9"/>
  <c r="C22" i="7" s="1"/>
  <c r="B150" i="9"/>
  <c r="B22" i="7" s="1"/>
  <c r="E149" i="9"/>
  <c r="E149" i="2" s="1"/>
  <c r="E148" i="9"/>
  <c r="E148" i="2" s="1"/>
  <c r="E147" i="9"/>
  <c r="E147" i="2" s="1"/>
  <c r="E146" i="9"/>
  <c r="E146" i="2" s="1"/>
  <c r="E145" i="9"/>
  <c r="E145" i="2" s="1"/>
  <c r="E144" i="9"/>
  <c r="E144" i="2" s="1"/>
  <c r="D141" i="9"/>
  <c r="C141" i="9"/>
  <c r="B141" i="9"/>
  <c r="E140" i="9"/>
  <c r="E140" i="2" s="1"/>
  <c r="E139" i="9"/>
  <c r="E139" i="2" s="1"/>
  <c r="E138" i="9"/>
  <c r="E138" i="2" s="1"/>
  <c r="E137" i="9"/>
  <c r="E137" i="2" s="1"/>
  <c r="E136" i="9"/>
  <c r="E136" i="2" s="1"/>
  <c r="E135" i="9"/>
  <c r="E135" i="2" s="1"/>
  <c r="D132" i="9"/>
  <c r="C132" i="9"/>
  <c r="B132" i="9"/>
  <c r="E131" i="9"/>
  <c r="E131" i="2" s="1"/>
  <c r="E130" i="9"/>
  <c r="E130" i="2" s="1"/>
  <c r="E129" i="9"/>
  <c r="E129" i="2" s="1"/>
  <c r="E128" i="9"/>
  <c r="E128" i="2" s="1"/>
  <c r="E127" i="9"/>
  <c r="E127" i="2" s="1"/>
  <c r="E126" i="9"/>
  <c r="E126" i="2" s="1"/>
  <c r="D123" i="9"/>
  <c r="C123" i="9"/>
  <c r="B123" i="9"/>
  <c r="E122" i="9"/>
  <c r="E122" i="2" s="1"/>
  <c r="E121" i="9"/>
  <c r="E121" i="2" s="1"/>
  <c r="E120" i="9"/>
  <c r="E120" i="2" s="1"/>
  <c r="E119" i="9"/>
  <c r="E119" i="2" s="1"/>
  <c r="E118" i="9"/>
  <c r="E118" i="2" s="1"/>
  <c r="E117" i="9"/>
  <c r="E117" i="2" s="1"/>
  <c r="D114" i="9"/>
  <c r="D20" i="7" s="1"/>
  <c r="C114" i="9"/>
  <c r="C20" i="7" s="1"/>
  <c r="B114" i="9"/>
  <c r="B20" i="7" s="1"/>
  <c r="E113" i="9"/>
  <c r="E113" i="2" s="1"/>
  <c r="E112" i="9"/>
  <c r="E112" i="2" s="1"/>
  <c r="E111" i="9"/>
  <c r="E111" i="2" s="1"/>
  <c r="E110" i="9"/>
  <c r="E110" i="2" s="1"/>
  <c r="E109" i="9"/>
  <c r="E109" i="2" s="1"/>
  <c r="E108" i="9"/>
  <c r="E108" i="2" s="1"/>
  <c r="D105" i="9"/>
  <c r="C105" i="9"/>
  <c r="B105" i="9"/>
  <c r="B105" i="2" s="1"/>
  <c r="E104" i="9"/>
  <c r="E104" i="2" s="1"/>
  <c r="E103" i="9"/>
  <c r="E103" i="2" s="1"/>
  <c r="E102" i="9"/>
  <c r="E102" i="2" s="1"/>
  <c r="E101" i="9"/>
  <c r="E101" i="2" s="1"/>
  <c r="E100" i="9"/>
  <c r="E100" i="2" s="1"/>
  <c r="E99" i="9"/>
  <c r="E99" i="2" s="1"/>
  <c r="D96" i="9"/>
  <c r="C96" i="9"/>
  <c r="B96" i="9"/>
  <c r="E95" i="9"/>
  <c r="E95" i="2" s="1"/>
  <c r="E94" i="9"/>
  <c r="E94" i="2" s="1"/>
  <c r="E93" i="9"/>
  <c r="E93" i="2" s="1"/>
  <c r="E92" i="9"/>
  <c r="E92" i="2" s="1"/>
  <c r="E91" i="9"/>
  <c r="E91" i="2" s="1"/>
  <c r="E90" i="9"/>
  <c r="E90" i="2" s="1"/>
  <c r="D87" i="9"/>
  <c r="C87" i="9"/>
  <c r="B87" i="9"/>
  <c r="E86" i="9"/>
  <c r="E86" i="2" s="1"/>
  <c r="E85" i="9"/>
  <c r="E85" i="2" s="1"/>
  <c r="E84" i="9"/>
  <c r="E84" i="2" s="1"/>
  <c r="E83" i="9"/>
  <c r="E83" i="2" s="1"/>
  <c r="E82" i="9"/>
  <c r="E82" i="2" s="1"/>
  <c r="E81" i="9"/>
  <c r="E81" i="2" s="1"/>
  <c r="D78" i="9"/>
  <c r="C78" i="9"/>
  <c r="B78" i="9"/>
  <c r="E77" i="9"/>
  <c r="E77" i="2" s="1"/>
  <c r="E76" i="9"/>
  <c r="E76" i="2" s="1"/>
  <c r="E75" i="9"/>
  <c r="E75" i="2" s="1"/>
  <c r="E74" i="9"/>
  <c r="E74" i="2" s="1"/>
  <c r="E73" i="9"/>
  <c r="E73" i="2" s="1"/>
  <c r="E72" i="9"/>
  <c r="E72" i="2" s="1"/>
  <c r="D69" i="9"/>
  <c r="C69" i="9"/>
  <c r="B69" i="9"/>
  <c r="E68" i="9"/>
  <c r="E68" i="2" s="1"/>
  <c r="E67" i="9"/>
  <c r="E67" i="2" s="1"/>
  <c r="E66" i="9"/>
  <c r="E66" i="2" s="1"/>
  <c r="E65" i="9"/>
  <c r="E65" i="2" s="1"/>
  <c r="E64" i="9"/>
  <c r="E64" i="2" s="1"/>
  <c r="E63" i="9"/>
  <c r="E63" i="2" s="1"/>
  <c r="D60" i="9"/>
  <c r="C60" i="9"/>
  <c r="B60" i="9"/>
  <c r="E59" i="9"/>
  <c r="E59" i="2" s="1"/>
  <c r="E58" i="9"/>
  <c r="E58" i="2" s="1"/>
  <c r="E57" i="9"/>
  <c r="E57" i="2" s="1"/>
  <c r="E56" i="9"/>
  <c r="E56" i="2" s="1"/>
  <c r="E55" i="9"/>
  <c r="E55" i="2" s="1"/>
  <c r="E54" i="9"/>
  <c r="E54" i="2" s="1"/>
  <c r="D51" i="9"/>
  <c r="C51" i="9"/>
  <c r="B51" i="9"/>
  <c r="E50" i="9"/>
  <c r="E50" i="2" s="1"/>
  <c r="E49" i="9"/>
  <c r="E49" i="2" s="1"/>
  <c r="E48" i="9"/>
  <c r="E48" i="2" s="1"/>
  <c r="E47" i="9"/>
  <c r="E47" i="2" s="1"/>
  <c r="E46" i="9"/>
  <c r="E46" i="2" s="1"/>
  <c r="E45" i="9"/>
  <c r="E45" i="2" s="1"/>
  <c r="D42" i="9"/>
  <c r="D18" i="7"/>
  <c r="C42" i="9"/>
  <c r="B42" i="9"/>
  <c r="E41" i="9"/>
  <c r="E41" i="2" s="1"/>
  <c r="E40" i="9"/>
  <c r="E40" i="2" s="1"/>
  <c r="E39" i="9"/>
  <c r="E39" i="2" s="1"/>
  <c r="E38" i="9"/>
  <c r="E38" i="2" s="1"/>
  <c r="E37" i="9"/>
  <c r="E37" i="2" s="1"/>
  <c r="E36" i="9"/>
  <c r="D33" i="9"/>
  <c r="C33" i="9"/>
  <c r="B33" i="9"/>
  <c r="E32" i="9"/>
  <c r="E32" i="2" s="1"/>
  <c r="E31" i="9"/>
  <c r="E31" i="2" s="1"/>
  <c r="E30" i="9"/>
  <c r="E30" i="2" s="1"/>
  <c r="E29" i="9"/>
  <c r="E29" i="2" s="1"/>
  <c r="E28" i="9"/>
  <c r="E28" i="2" s="1"/>
  <c r="E27" i="9"/>
  <c r="E27" i="2" s="1"/>
  <c r="D24" i="9"/>
  <c r="C24" i="9"/>
  <c r="B24" i="9"/>
  <c r="E23" i="9"/>
  <c r="E23" i="2" s="1"/>
  <c r="E22" i="9"/>
  <c r="E22" i="2" s="1"/>
  <c r="E21" i="9"/>
  <c r="E21" i="2" s="1"/>
  <c r="E20" i="9"/>
  <c r="E20" i="2" s="1"/>
  <c r="E19" i="9"/>
  <c r="E19" i="2" s="1"/>
  <c r="E18" i="9"/>
  <c r="E18" i="2" s="1"/>
  <c r="D15" i="9"/>
  <c r="C15" i="9"/>
  <c r="B15" i="9"/>
  <c r="E14" i="9"/>
  <c r="E14" i="2" s="1"/>
  <c r="E13" i="9"/>
  <c r="E13" i="2" s="1"/>
  <c r="E12" i="9"/>
  <c r="E12" i="2" s="1"/>
  <c r="E11" i="9"/>
  <c r="E11" i="2" s="1"/>
  <c r="E10" i="9"/>
  <c r="E10" i="2" s="1"/>
  <c r="E9" i="9"/>
  <c r="E9" i="2" s="1"/>
  <c r="E41" i="7"/>
  <c r="D41" i="7"/>
  <c r="C41" i="7"/>
  <c r="C41" i="4" s="1"/>
  <c r="D24" i="7"/>
  <c r="B23" i="7"/>
  <c r="D13" i="7"/>
  <c r="C13" i="7"/>
  <c r="B13" i="7"/>
  <c r="E13" i="7"/>
  <c r="E33" i="4"/>
  <c r="D33" i="4"/>
  <c r="C33" i="4"/>
  <c r="C225" i="8"/>
  <c r="B225" i="8"/>
  <c r="C224" i="8"/>
  <c r="B224" i="8"/>
  <c r="D212" i="8"/>
  <c r="D212" i="2" s="1"/>
  <c r="D211" i="8"/>
  <c r="D211" i="2" s="1"/>
  <c r="D210" i="8"/>
  <c r="D210" i="2" s="1"/>
  <c r="B210" i="2"/>
  <c r="D209" i="8"/>
  <c r="D209" i="2" s="1"/>
  <c r="D208" i="8"/>
  <c r="D208" i="2" s="1"/>
  <c r="D207" i="8"/>
  <c r="D207" i="2" s="1"/>
  <c r="D203" i="8"/>
  <c r="D202" i="8"/>
  <c r="D202" i="2" s="1"/>
  <c r="D201" i="8"/>
  <c r="E200" i="2"/>
  <c r="D200" i="8"/>
  <c r="C200" i="2"/>
  <c r="B200" i="2"/>
  <c r="D199" i="8"/>
  <c r="D198" i="8"/>
  <c r="D194" i="8"/>
  <c r="D194" i="2" s="1"/>
  <c r="D193" i="8"/>
  <c r="D193" i="2" s="1"/>
  <c r="D192" i="8"/>
  <c r="D192" i="2" s="1"/>
  <c r="D191" i="8"/>
  <c r="D191" i="2" s="1"/>
  <c r="D190" i="8"/>
  <c r="D189" i="8"/>
  <c r="D189" i="2" s="1"/>
  <c r="D185" i="8"/>
  <c r="D185" i="2" s="1"/>
  <c r="D184" i="8"/>
  <c r="D184" i="2" s="1"/>
  <c r="D182" i="8"/>
  <c r="D182" i="2" s="1"/>
  <c r="D181" i="8"/>
  <c r="D181" i="2" s="1"/>
  <c r="D180" i="8"/>
  <c r="D180" i="2" s="1"/>
  <c r="D176" i="8"/>
  <c r="D176" i="2" s="1"/>
  <c r="D175" i="8"/>
  <c r="D175" i="2" s="1"/>
  <c r="D174" i="8"/>
  <c r="D174" i="2" s="1"/>
  <c r="D173" i="8"/>
  <c r="D173" i="2" s="1"/>
  <c r="B173" i="2"/>
  <c r="D172" i="8"/>
  <c r="D172" i="2" s="1"/>
  <c r="B172" i="2"/>
  <c r="D171" i="8"/>
  <c r="D171" i="2" s="1"/>
  <c r="B171" i="2"/>
  <c r="D167" i="8"/>
  <c r="D167" i="2" s="1"/>
  <c r="D166" i="8"/>
  <c r="D166" i="2" s="1"/>
  <c r="D165" i="8"/>
  <c r="D165" i="2" s="1"/>
  <c r="B165" i="2"/>
  <c r="D164" i="8"/>
  <c r="D164" i="2" s="1"/>
  <c r="D163" i="8"/>
  <c r="D163" i="2" s="1"/>
  <c r="B163" i="2"/>
  <c r="D162" i="8"/>
  <c r="D162" i="2" s="1"/>
  <c r="D158" i="8"/>
  <c r="D157" i="8"/>
  <c r="D157" i="2" s="1"/>
  <c r="D156" i="8"/>
  <c r="D155" i="8"/>
  <c r="B155" i="2"/>
  <c r="D154" i="8"/>
  <c r="D153" i="8"/>
  <c r="C153" i="2"/>
  <c r="D149" i="8"/>
  <c r="D149" i="2" s="1"/>
  <c r="D148" i="8"/>
  <c r="D148" i="2" s="1"/>
  <c r="D140" i="8"/>
  <c r="D140" i="2" s="1"/>
  <c r="D139" i="8"/>
  <c r="D139" i="2" s="1"/>
  <c r="D138" i="8"/>
  <c r="D138" i="2" s="1"/>
  <c r="D137" i="8"/>
  <c r="D137" i="2" s="1"/>
  <c r="B222" i="8"/>
  <c r="D136" i="8"/>
  <c r="D136" i="2" s="1"/>
  <c r="D131" i="8"/>
  <c r="D131" i="2" s="1"/>
  <c r="D130" i="8"/>
  <c r="D130" i="2" s="1"/>
  <c r="D129" i="8"/>
  <c r="D129" i="2" s="1"/>
  <c r="B129" i="2"/>
  <c r="D127" i="8"/>
  <c r="D127" i="2" s="1"/>
  <c r="D126" i="8"/>
  <c r="D126" i="2" s="1"/>
  <c r="D122" i="8"/>
  <c r="D122" i="2" s="1"/>
  <c r="D121" i="8"/>
  <c r="D121" i="2" s="1"/>
  <c r="D120" i="8"/>
  <c r="D120" i="2" s="1"/>
  <c r="D119" i="8"/>
  <c r="D119" i="2" s="1"/>
  <c r="D117" i="8"/>
  <c r="D117" i="2" s="1"/>
  <c r="D113" i="8"/>
  <c r="D113" i="2" s="1"/>
  <c r="D112" i="8"/>
  <c r="D112" i="2" s="1"/>
  <c r="D109" i="8"/>
  <c r="D109" i="2" s="1"/>
  <c r="D103" i="8"/>
  <c r="D94" i="8"/>
  <c r="D94" i="2" s="1"/>
  <c r="D90" i="8"/>
  <c r="D90" i="2" s="1"/>
  <c r="D86" i="8"/>
  <c r="D86" i="2" s="1"/>
  <c r="D85" i="8"/>
  <c r="D85" i="2" s="1"/>
  <c r="D84" i="8"/>
  <c r="D84" i="2" s="1"/>
  <c r="D83" i="8"/>
  <c r="D82" i="8"/>
  <c r="D82" i="2" s="1"/>
  <c r="C221" i="8"/>
  <c r="D81" i="8"/>
  <c r="D81" i="2" s="1"/>
  <c r="D76" i="8"/>
  <c r="D76" i="2" s="1"/>
  <c r="D75" i="8"/>
  <c r="D75" i="2" s="1"/>
  <c r="D73" i="8"/>
  <c r="D73" i="2" s="1"/>
  <c r="D68" i="8"/>
  <c r="D68" i="2" s="1"/>
  <c r="D67" i="8"/>
  <c r="D67" i="2" s="1"/>
  <c r="D63" i="8"/>
  <c r="D63" i="2" s="1"/>
  <c r="B60" i="2"/>
  <c r="D59" i="8"/>
  <c r="D59" i="2" s="1"/>
  <c r="D58" i="8"/>
  <c r="D50" i="8"/>
  <c r="D50" i="2" s="1"/>
  <c r="D49" i="8"/>
  <c r="D49" i="2" s="1"/>
  <c r="D45" i="8"/>
  <c r="D45" i="2" s="1"/>
  <c r="D41" i="8"/>
  <c r="D41" i="2" s="1"/>
  <c r="D32" i="8"/>
  <c r="D32" i="2" s="1"/>
  <c r="D31" i="8"/>
  <c r="D31" i="2" s="1"/>
  <c r="D23" i="8"/>
  <c r="D23" i="2" s="1"/>
  <c r="D22" i="8"/>
  <c r="D22" i="2" s="1"/>
  <c r="D18" i="8"/>
  <c r="D18" i="2" s="1"/>
  <c r="D13" i="8"/>
  <c r="D13" i="2" s="1"/>
  <c r="B39" i="4"/>
  <c r="C32" i="4"/>
  <c r="E20" i="5"/>
  <c r="C24" i="5"/>
  <c r="D154" i="2"/>
  <c r="D22" i="5"/>
  <c r="D153" i="2"/>
  <c r="D21" i="5"/>
  <c r="C20" i="5"/>
  <c r="B18" i="5"/>
  <c r="E24" i="10"/>
  <c r="C224" i="9"/>
  <c r="F21" i="8"/>
  <c r="F19" i="8"/>
  <c r="F18" i="8"/>
  <c r="F18" i="2" s="1"/>
  <c r="E10" i="4"/>
  <c r="D9" i="4"/>
  <c r="C11" i="4"/>
  <c r="D24" i="5"/>
  <c r="D20" i="5"/>
  <c r="D200" i="2"/>
  <c r="C156" i="2"/>
  <c r="C154" i="2"/>
  <c r="C22" i="5"/>
  <c r="G33" i="5"/>
  <c r="F212" i="9"/>
  <c r="F211" i="9"/>
  <c r="F210" i="9"/>
  <c r="F209" i="9"/>
  <c r="D210" i="3" s="1"/>
  <c r="F208" i="9"/>
  <c r="F207" i="9"/>
  <c r="F203" i="9"/>
  <c r="D204" i="3" s="1"/>
  <c r="F202" i="9"/>
  <c r="D203" i="3" s="1"/>
  <c r="F201" i="9"/>
  <c r="F200" i="9"/>
  <c r="F199" i="9"/>
  <c r="F198" i="9"/>
  <c r="D199" i="3" s="1"/>
  <c r="F194" i="9"/>
  <c r="F193" i="9"/>
  <c r="D194" i="3" s="1"/>
  <c r="F192" i="9"/>
  <c r="D193" i="3" s="1"/>
  <c r="F191" i="9"/>
  <c r="F190" i="9"/>
  <c r="F189" i="9"/>
  <c r="D190" i="3" s="1"/>
  <c r="F185" i="9"/>
  <c r="F186" i="3" s="1"/>
  <c r="F184" i="9"/>
  <c r="F183" i="9"/>
  <c r="F182" i="9"/>
  <c r="D183" i="3" s="1"/>
  <c r="F181" i="9"/>
  <c r="F180" i="9"/>
  <c r="F176" i="9"/>
  <c r="F175" i="9"/>
  <c r="F174" i="9"/>
  <c r="D175" i="3" s="1"/>
  <c r="F173" i="9"/>
  <c r="F172" i="9"/>
  <c r="F171" i="9"/>
  <c r="F167" i="9"/>
  <c r="F166" i="9"/>
  <c r="F165" i="9"/>
  <c r="F164" i="9"/>
  <c r="F163" i="9"/>
  <c r="F168" i="9" s="1"/>
  <c r="F24" i="7" s="1"/>
  <c r="G24" i="7" s="1"/>
  <c r="F162" i="9"/>
  <c r="F158" i="9"/>
  <c r="F156" i="9"/>
  <c r="F155" i="9"/>
  <c r="F154" i="9"/>
  <c r="F153" i="9"/>
  <c r="F149" i="9"/>
  <c r="F148" i="9"/>
  <c r="D149" i="3" s="1"/>
  <c r="F147" i="9"/>
  <c r="F147" i="2" s="1"/>
  <c r="F146" i="9"/>
  <c r="F146" i="2" s="1"/>
  <c r="F145" i="9"/>
  <c r="F145" i="2" s="1"/>
  <c r="F144" i="9"/>
  <c r="F144" i="2" s="1"/>
  <c r="F140" i="9"/>
  <c r="F139" i="9"/>
  <c r="F138" i="9"/>
  <c r="D139" i="3"/>
  <c r="F137" i="9"/>
  <c r="F136" i="9"/>
  <c r="D137" i="3" s="1"/>
  <c r="F135" i="9"/>
  <c r="F131" i="9"/>
  <c r="F130" i="9"/>
  <c r="F129" i="9"/>
  <c r="F128" i="9"/>
  <c r="F128" i="2" s="1"/>
  <c r="F127" i="9"/>
  <c r="F126" i="9"/>
  <c r="F122" i="9"/>
  <c r="F123" i="9" s="1"/>
  <c r="F121" i="9"/>
  <c r="D122" i="3" s="1"/>
  <c r="F120" i="9"/>
  <c r="F119" i="9"/>
  <c r="F118" i="9"/>
  <c r="F118" i="2" s="1"/>
  <c r="G118" i="2" s="1"/>
  <c r="F117" i="9"/>
  <c r="F113" i="9"/>
  <c r="D114" i="3" s="1"/>
  <c r="F112" i="9"/>
  <c r="F111" i="9"/>
  <c r="F111" i="2" s="1"/>
  <c r="F110" i="9"/>
  <c r="F109" i="9"/>
  <c r="F108" i="9"/>
  <c r="F108" i="2" s="1"/>
  <c r="F104" i="9"/>
  <c r="F103" i="9"/>
  <c r="F102" i="9"/>
  <c r="F102" i="2" s="1"/>
  <c r="F101" i="9"/>
  <c r="F101" i="2" s="1"/>
  <c r="F100" i="9"/>
  <c r="F100" i="2" s="1"/>
  <c r="F99" i="9"/>
  <c r="F95" i="9"/>
  <c r="D96" i="3" s="1"/>
  <c r="F94" i="9"/>
  <c r="F93" i="9"/>
  <c r="F92" i="9"/>
  <c r="D93" i="3" s="1"/>
  <c r="F91" i="9"/>
  <c r="D92" i="3" s="1"/>
  <c r="F90" i="9"/>
  <c r="F86" i="9"/>
  <c r="F85" i="9"/>
  <c r="F84" i="9"/>
  <c r="D85" i="3"/>
  <c r="F83" i="9"/>
  <c r="F82" i="9"/>
  <c r="F81" i="9"/>
  <c r="F77" i="9"/>
  <c r="F78" i="9" s="1"/>
  <c r="F76" i="9"/>
  <c r="F75" i="9"/>
  <c r="F74" i="9"/>
  <c r="F74" i="2" s="1"/>
  <c r="F73" i="9"/>
  <c r="D74" i="3" s="1"/>
  <c r="F72" i="9"/>
  <c r="F68" i="9"/>
  <c r="F67" i="9"/>
  <c r="D68" i="3" s="1"/>
  <c r="F66" i="9"/>
  <c r="F65" i="9"/>
  <c r="F65" i="2" s="1"/>
  <c r="F64" i="9"/>
  <c r="F64" i="2" s="1"/>
  <c r="F63" i="9"/>
  <c r="F59" i="9"/>
  <c r="F58" i="9"/>
  <c r="F57" i="9"/>
  <c r="F57" i="2" s="1"/>
  <c r="F56" i="9"/>
  <c r="F55" i="9"/>
  <c r="F54" i="9"/>
  <c r="F54" i="2" s="1"/>
  <c r="F50" i="9"/>
  <c r="F49" i="9"/>
  <c r="F48" i="9"/>
  <c r="F48" i="2" s="1"/>
  <c r="F47" i="9"/>
  <c r="F47" i="2" s="1"/>
  <c r="F46" i="9"/>
  <c r="F45" i="9"/>
  <c r="D46" i="3" s="1"/>
  <c r="F41" i="9"/>
  <c r="F40" i="9"/>
  <c r="F39" i="9"/>
  <c r="F39" i="2" s="1"/>
  <c r="F38" i="9"/>
  <c r="F38" i="2" s="1"/>
  <c r="F37" i="9"/>
  <c r="F37" i="2" s="1"/>
  <c r="F36" i="9"/>
  <c r="D37" i="3" s="1"/>
  <c r="F32" i="9"/>
  <c r="F31" i="9"/>
  <c r="F30" i="9"/>
  <c r="F29" i="9"/>
  <c r="F29" i="2" s="1"/>
  <c r="F28" i="9"/>
  <c r="F28" i="2" s="1"/>
  <c r="F27" i="9"/>
  <c r="F27" i="2" s="1"/>
  <c r="G27" i="2" s="1"/>
  <c r="F23" i="9"/>
  <c r="D24" i="3" s="1"/>
  <c r="F22" i="9"/>
  <c r="F21" i="9"/>
  <c r="D22" i="3" s="1"/>
  <c r="F20" i="9"/>
  <c r="F20" i="2" s="1"/>
  <c r="F19" i="9"/>
  <c r="F18" i="9"/>
  <c r="F14" i="9"/>
  <c r="F13" i="9"/>
  <c r="F12" i="9"/>
  <c r="F12" i="2" s="1"/>
  <c r="F11" i="9"/>
  <c r="F11" i="2" s="1"/>
  <c r="F10" i="9"/>
  <c r="F10" i="2" s="1"/>
  <c r="F9" i="9"/>
  <c r="F9" i="2" s="1"/>
  <c r="F212" i="8"/>
  <c r="F211" i="8"/>
  <c r="F211" i="2" s="1"/>
  <c r="F210" i="8"/>
  <c r="F210" i="2" s="1"/>
  <c r="F209" i="8"/>
  <c r="F208" i="8"/>
  <c r="F208" i="2" s="1"/>
  <c r="F207" i="8"/>
  <c r="F207" i="2" s="1"/>
  <c r="F203" i="8"/>
  <c r="F204" i="8" s="1"/>
  <c r="F202" i="8"/>
  <c r="F202" i="2" s="1"/>
  <c r="F201" i="8"/>
  <c r="F200" i="8"/>
  <c r="F199" i="8"/>
  <c r="F198" i="8"/>
  <c r="F194" i="8"/>
  <c r="F194" i="2" s="1"/>
  <c r="F193" i="8"/>
  <c r="F193" i="2" s="1"/>
  <c r="F192" i="8"/>
  <c r="F192" i="2" s="1"/>
  <c r="F191" i="8"/>
  <c r="F190" i="8"/>
  <c r="F190" i="2" s="1"/>
  <c r="F189" i="8"/>
  <c r="F189" i="2" s="1"/>
  <c r="F185" i="8"/>
  <c r="F184" i="8"/>
  <c r="F184" i="2" s="1"/>
  <c r="F182" i="8"/>
  <c r="F182" i="2" s="1"/>
  <c r="F181" i="8"/>
  <c r="F181" i="2" s="1"/>
  <c r="F180" i="8"/>
  <c r="F176" i="8"/>
  <c r="F176" i="2" s="1"/>
  <c r="F175" i="8"/>
  <c r="F175" i="2" s="1"/>
  <c r="F174" i="8"/>
  <c r="F173" i="8"/>
  <c r="F173" i="2" s="1"/>
  <c r="F172" i="8"/>
  <c r="F172" i="2" s="1"/>
  <c r="F171" i="8"/>
  <c r="F171" i="2" s="1"/>
  <c r="F167" i="8"/>
  <c r="F166" i="8"/>
  <c r="F166" i="2" s="1"/>
  <c r="F165" i="8"/>
  <c r="F165" i="2" s="1"/>
  <c r="F164" i="8"/>
  <c r="F163" i="8"/>
  <c r="F162" i="8"/>
  <c r="F162" i="2" s="1"/>
  <c r="F158" i="8"/>
  <c r="F157" i="8"/>
  <c r="F157" i="2" s="1"/>
  <c r="F156" i="8"/>
  <c r="C157" i="3" s="1"/>
  <c r="F155" i="8"/>
  <c r="F154" i="8"/>
  <c r="F153" i="8"/>
  <c r="F149" i="8"/>
  <c r="F149" i="2" s="1"/>
  <c r="F148" i="8"/>
  <c r="F140" i="8"/>
  <c r="F140" i="2" s="1"/>
  <c r="F139" i="8"/>
  <c r="F139" i="2" s="1"/>
  <c r="F138" i="8"/>
  <c r="F138" i="2" s="1"/>
  <c r="F137" i="8"/>
  <c r="F137" i="2" s="1"/>
  <c r="F136" i="8"/>
  <c r="F136" i="2" s="1"/>
  <c r="F130" i="8"/>
  <c r="F130" i="2" s="1"/>
  <c r="F129" i="8"/>
  <c r="F129" i="2" s="1"/>
  <c r="F127" i="8"/>
  <c r="F126" i="8"/>
  <c r="F126" i="2" s="1"/>
  <c r="F122" i="8"/>
  <c r="F122" i="2" s="1"/>
  <c r="F121" i="8"/>
  <c r="F121" i="2" s="1"/>
  <c r="F120" i="8"/>
  <c r="F120" i="2" s="1"/>
  <c r="F119" i="8"/>
  <c r="F119" i="2" s="1"/>
  <c r="F113" i="8"/>
  <c r="F112" i="8"/>
  <c r="F112" i="2" s="1"/>
  <c r="F110" i="8"/>
  <c r="F110" i="2" s="1"/>
  <c r="F109" i="8"/>
  <c r="F109" i="2" s="1"/>
  <c r="F104" i="8"/>
  <c r="F104" i="2" s="1"/>
  <c r="F103" i="8"/>
  <c r="F103" i="2" s="1"/>
  <c r="F99" i="8"/>
  <c r="F99" i="2" s="1"/>
  <c r="F95" i="8"/>
  <c r="F95" i="2" s="1"/>
  <c r="F94" i="8"/>
  <c r="F94" i="2" s="1"/>
  <c r="F93" i="8"/>
  <c r="F90" i="8"/>
  <c r="F90" i="2" s="1"/>
  <c r="F86" i="8"/>
  <c r="F86" i="2" s="1"/>
  <c r="F85" i="8"/>
  <c r="F85" i="2" s="1"/>
  <c r="F84" i="8"/>
  <c r="F84" i="2" s="1"/>
  <c r="F83" i="8"/>
  <c r="F83" i="2" s="1"/>
  <c r="F82" i="8"/>
  <c r="F82" i="2" s="1"/>
  <c r="F81" i="8"/>
  <c r="F77" i="8"/>
  <c r="F77" i="2" s="1"/>
  <c r="F76" i="8"/>
  <c r="F76" i="2" s="1"/>
  <c r="F75" i="8"/>
  <c r="F75" i="2" s="1"/>
  <c r="F73" i="8"/>
  <c r="F73" i="2" s="1"/>
  <c r="F72" i="8"/>
  <c r="F72" i="2" s="1"/>
  <c r="F68" i="8"/>
  <c r="F68" i="2" s="1"/>
  <c r="F67" i="8"/>
  <c r="F66" i="8"/>
  <c r="F66" i="2" s="1"/>
  <c r="F63" i="8"/>
  <c r="F63" i="2" s="1"/>
  <c r="F59" i="8"/>
  <c r="F59" i="2" s="1"/>
  <c r="F58" i="8"/>
  <c r="F58" i="2" s="1"/>
  <c r="F50" i="8"/>
  <c r="F50" i="2" s="1"/>
  <c r="F49" i="8"/>
  <c r="F49" i="2" s="1"/>
  <c r="F46" i="8"/>
  <c r="F46" i="2" s="1"/>
  <c r="F45" i="8"/>
  <c r="F41" i="8"/>
  <c r="F41" i="2" s="1"/>
  <c r="F40" i="8"/>
  <c r="F40" i="2" s="1"/>
  <c r="F36" i="8"/>
  <c r="F36" i="2" s="1"/>
  <c r="F32" i="8"/>
  <c r="F31" i="8"/>
  <c r="F23" i="8"/>
  <c r="F22" i="8"/>
  <c r="F22" i="2" s="1"/>
  <c r="F13" i="8"/>
  <c r="F117" i="8"/>
  <c r="F117" i="2" s="1"/>
  <c r="C201" i="2"/>
  <c r="D199" i="2"/>
  <c r="B138" i="2"/>
  <c r="B119" i="2"/>
  <c r="B84" i="2"/>
  <c r="E24" i="5"/>
  <c r="E22" i="5"/>
  <c r="B63" i="2"/>
  <c r="F168" i="11"/>
  <c r="F24" i="10" s="1"/>
  <c r="F222" i="11"/>
  <c r="F225" i="17"/>
  <c r="F78" i="17"/>
  <c r="F33" i="17"/>
  <c r="F24" i="17"/>
  <c r="D203" i="2"/>
  <c r="E202" i="2"/>
  <c r="D158" i="2"/>
  <c r="G147" i="2"/>
  <c r="G94" i="2"/>
  <c r="G76" i="2"/>
  <c r="F224" i="17"/>
  <c r="F105" i="17"/>
  <c r="D201" i="2"/>
  <c r="E186" i="3"/>
  <c r="E185" i="3"/>
  <c r="E183" i="3"/>
  <c r="E182" i="3"/>
  <c r="D185" i="3"/>
  <c r="C186" i="3"/>
  <c r="C185" i="3"/>
  <c r="C184" i="3"/>
  <c r="C183" i="3"/>
  <c r="F185" i="3"/>
  <c r="B201" i="2"/>
  <c r="B199" i="2"/>
  <c r="B192" i="2"/>
  <c r="B190" i="2"/>
  <c r="B109" i="2"/>
  <c r="B108" i="2"/>
  <c r="B83" i="2"/>
  <c r="B74" i="2"/>
  <c r="E41" i="4"/>
  <c r="F13" i="5"/>
  <c r="F150" i="8"/>
  <c r="F213" i="17"/>
  <c r="F204" i="17"/>
  <c r="F195" i="17"/>
  <c r="F177" i="17"/>
  <c r="F168" i="17"/>
  <c r="F24" i="5" s="1"/>
  <c r="F150" i="17"/>
  <c r="F22" i="5" s="1"/>
  <c r="F132" i="17"/>
  <c r="F114" i="17"/>
  <c r="F20" i="5" s="1"/>
  <c r="F87" i="17"/>
  <c r="F69" i="17"/>
  <c r="F60" i="17"/>
  <c r="F51" i="17"/>
  <c r="F42" i="17"/>
  <c r="F15" i="17"/>
  <c r="F224" i="11"/>
  <c r="F221" i="11"/>
  <c r="F213" i="11"/>
  <c r="F204" i="11"/>
  <c r="F195" i="11"/>
  <c r="F183" i="11"/>
  <c r="F180" i="11"/>
  <c r="F220" i="11" s="1"/>
  <c r="F177" i="11"/>
  <c r="F225" i="11"/>
  <c r="F159" i="11"/>
  <c r="F150" i="11"/>
  <c r="F22" i="10" s="1"/>
  <c r="G22" i="10" s="1"/>
  <c r="F141" i="11"/>
  <c r="F132" i="11"/>
  <c r="F123" i="11"/>
  <c r="F114" i="11"/>
  <c r="F105" i="11"/>
  <c r="F96" i="11"/>
  <c r="F87" i="11"/>
  <c r="F19" i="10" s="1"/>
  <c r="F78" i="11"/>
  <c r="F69" i="11"/>
  <c r="F60" i="11"/>
  <c r="F51" i="11"/>
  <c r="F18" i="10" s="1"/>
  <c r="F42" i="11"/>
  <c r="F33" i="11"/>
  <c r="F24" i="11"/>
  <c r="F15" i="11"/>
  <c r="D181" i="3"/>
  <c r="F41" i="7"/>
  <c r="B41" i="4"/>
  <c r="F33" i="7"/>
  <c r="F32" i="7"/>
  <c r="G32" i="7" s="1"/>
  <c r="F11" i="7"/>
  <c r="F10" i="7"/>
  <c r="C211" i="3"/>
  <c r="C208" i="3"/>
  <c r="F201" i="2"/>
  <c r="F199" i="2"/>
  <c r="C175" i="3"/>
  <c r="C155" i="3"/>
  <c r="G100" i="2"/>
  <c r="C47" i="3"/>
  <c r="F33" i="4"/>
  <c r="F180" i="17"/>
  <c r="F156" i="17"/>
  <c r="F155" i="17"/>
  <c r="F154" i="17"/>
  <c r="F153" i="17"/>
  <c r="B154" i="3" s="1"/>
  <c r="F154" i="3" s="1"/>
  <c r="F93" i="17"/>
  <c r="F93" i="2" s="1"/>
  <c r="F92" i="17"/>
  <c r="F91" i="17"/>
  <c r="B10" i="3"/>
  <c r="B11" i="3"/>
  <c r="B12" i="3"/>
  <c r="B14" i="3"/>
  <c r="B15" i="3"/>
  <c r="B19" i="3"/>
  <c r="B20" i="3"/>
  <c r="B21" i="3"/>
  <c r="B22" i="3"/>
  <c r="B23" i="3"/>
  <c r="B24" i="3"/>
  <c r="B28" i="3"/>
  <c r="B29" i="3"/>
  <c r="B30" i="3"/>
  <c r="B31" i="3"/>
  <c r="B32" i="3"/>
  <c r="B33" i="3"/>
  <c r="B37" i="3"/>
  <c r="B38" i="3"/>
  <c r="B39" i="3"/>
  <c r="B40" i="3"/>
  <c r="B41" i="3"/>
  <c r="B42" i="3"/>
  <c r="B46" i="3"/>
  <c r="B47" i="3"/>
  <c r="B48" i="3"/>
  <c r="B49" i="3"/>
  <c r="B50" i="3"/>
  <c r="B51" i="3"/>
  <c r="B55" i="3"/>
  <c r="B56" i="3"/>
  <c r="B57" i="3"/>
  <c r="B58" i="3"/>
  <c r="B59" i="3"/>
  <c r="B60" i="3"/>
  <c r="F60" i="3" s="1"/>
  <c r="B65" i="3"/>
  <c r="B68" i="3"/>
  <c r="B69" i="3"/>
  <c r="B73" i="3"/>
  <c r="B75" i="3"/>
  <c r="B76" i="3"/>
  <c r="B77" i="3"/>
  <c r="B78" i="3"/>
  <c r="B83" i="3"/>
  <c r="B84" i="3"/>
  <c r="B85" i="3"/>
  <c r="B86" i="3"/>
  <c r="B87" i="3"/>
  <c r="B91" i="3"/>
  <c r="B95" i="3"/>
  <c r="B96" i="3"/>
  <c r="B100" i="3"/>
  <c r="B101" i="3"/>
  <c r="B102" i="3"/>
  <c r="B103" i="3"/>
  <c r="B104" i="3"/>
  <c r="B105" i="3"/>
  <c r="B109" i="3"/>
  <c r="B110" i="3"/>
  <c r="B111" i="3"/>
  <c r="B112" i="3"/>
  <c r="B113" i="3"/>
  <c r="B114" i="3"/>
  <c r="B118" i="3"/>
  <c r="B119" i="3"/>
  <c r="B120" i="3"/>
  <c r="B121" i="3"/>
  <c r="B122" i="3"/>
  <c r="B123" i="3"/>
  <c r="B127" i="3"/>
  <c r="B128" i="3"/>
  <c r="B129" i="3"/>
  <c r="B130" i="3"/>
  <c r="B131" i="3"/>
  <c r="B132" i="3"/>
  <c r="B136" i="3"/>
  <c r="B137" i="3"/>
  <c r="B138" i="3"/>
  <c r="B139" i="3"/>
  <c r="B140" i="3"/>
  <c r="B141" i="3"/>
  <c r="B145" i="3"/>
  <c r="B146" i="3"/>
  <c r="B147" i="3"/>
  <c r="B148" i="3"/>
  <c r="B149" i="3"/>
  <c r="B150" i="3"/>
  <c r="B158" i="3"/>
  <c r="B159" i="3"/>
  <c r="B167" i="3"/>
  <c r="B168" i="3"/>
  <c r="B172" i="3"/>
  <c r="B173" i="3"/>
  <c r="B174" i="3"/>
  <c r="B176" i="3"/>
  <c r="B177" i="3"/>
  <c r="B191" i="3"/>
  <c r="B194" i="3"/>
  <c r="B195" i="3"/>
  <c r="B202" i="3"/>
  <c r="B203" i="3"/>
  <c r="B204" i="3"/>
  <c r="B209" i="3"/>
  <c r="B211" i="3"/>
  <c r="B212" i="3"/>
  <c r="B13" i="3"/>
  <c r="B9" i="2"/>
  <c r="B18" i="2"/>
  <c r="B27" i="2"/>
  <c r="B36" i="2"/>
  <c r="B54" i="2"/>
  <c r="B72" i="2"/>
  <c r="B99" i="2"/>
  <c r="B117" i="2"/>
  <c r="B144" i="2"/>
  <c r="B10" i="2"/>
  <c r="B19" i="2"/>
  <c r="B28" i="2"/>
  <c r="B37" i="2"/>
  <c r="B46" i="2"/>
  <c r="B55" i="2"/>
  <c r="B64" i="2"/>
  <c r="B100" i="2"/>
  <c r="B118" i="2"/>
  <c r="B127" i="2"/>
  <c r="B136" i="2"/>
  <c r="B145" i="2"/>
  <c r="B181" i="2"/>
  <c r="B11" i="2"/>
  <c r="B20" i="2"/>
  <c r="B29" i="2"/>
  <c r="B38" i="2"/>
  <c r="B47" i="2"/>
  <c r="B56" i="2"/>
  <c r="B101" i="2"/>
  <c r="B110" i="2"/>
  <c r="B128" i="2"/>
  <c r="B146" i="2"/>
  <c r="B21" i="2"/>
  <c r="B30" i="2"/>
  <c r="B39" i="2"/>
  <c r="B48" i="2"/>
  <c r="B57" i="2"/>
  <c r="B75" i="2"/>
  <c r="B102" i="2"/>
  <c r="B111" i="2"/>
  <c r="B147" i="2"/>
  <c r="B13" i="2"/>
  <c r="B22" i="2"/>
  <c r="B31" i="2"/>
  <c r="B40" i="2"/>
  <c r="B49" i="2"/>
  <c r="B58" i="2"/>
  <c r="B67" i="2"/>
  <c r="B76" i="2"/>
  <c r="B85" i="2"/>
  <c r="B103" i="2"/>
  <c r="B112" i="2"/>
  <c r="B121" i="2"/>
  <c r="B130" i="2"/>
  <c r="B139" i="2"/>
  <c r="B148" i="2"/>
  <c r="B157" i="2"/>
  <c r="B166" i="2"/>
  <c r="B175" i="2"/>
  <c r="B184" i="2"/>
  <c r="B193" i="2"/>
  <c r="B202" i="2"/>
  <c r="B211" i="2"/>
  <c r="B23" i="2"/>
  <c r="B32" i="2"/>
  <c r="B41" i="2"/>
  <c r="B50" i="2"/>
  <c r="B59" i="2"/>
  <c r="B68" i="2"/>
  <c r="B77" i="2"/>
  <c r="B86" i="2"/>
  <c r="B104" i="2"/>
  <c r="B113" i="2"/>
  <c r="B122" i="2"/>
  <c r="B131" i="2"/>
  <c r="B140" i="2"/>
  <c r="B149" i="2"/>
  <c r="B158" i="2"/>
  <c r="B167" i="2"/>
  <c r="B176" i="2"/>
  <c r="B185" i="2"/>
  <c r="B194" i="2"/>
  <c r="B203" i="2"/>
  <c r="B212" i="2"/>
  <c r="C24" i="2"/>
  <c r="C42" i="2"/>
  <c r="C158" i="2"/>
  <c r="C202" i="2"/>
  <c r="C224" i="2" s="1"/>
  <c r="C203" i="2"/>
  <c r="B9" i="4"/>
  <c r="B65" i="2"/>
  <c r="B164" i="2"/>
  <c r="B182" i="2"/>
  <c r="B66" i="2"/>
  <c r="B186" i="3"/>
  <c r="B185" i="3"/>
  <c r="B184" i="3"/>
  <c r="B183" i="3"/>
  <c r="B182" i="3"/>
  <c r="C10" i="3"/>
  <c r="E10" i="3"/>
  <c r="C11" i="3"/>
  <c r="E11" i="3"/>
  <c r="C12" i="3"/>
  <c r="D12" i="3"/>
  <c r="E12" i="3"/>
  <c r="C13" i="3"/>
  <c r="E13" i="3"/>
  <c r="D14" i="3"/>
  <c r="E14" i="3"/>
  <c r="C15" i="3"/>
  <c r="E15" i="3"/>
  <c r="D19" i="3"/>
  <c r="E19" i="3"/>
  <c r="D20" i="3"/>
  <c r="E20" i="3"/>
  <c r="E21" i="3"/>
  <c r="E22" i="3"/>
  <c r="D23" i="3"/>
  <c r="E23" i="3"/>
  <c r="C24" i="3"/>
  <c r="E24" i="3"/>
  <c r="C28" i="3"/>
  <c r="D28" i="3"/>
  <c r="E28" i="3"/>
  <c r="C29" i="3"/>
  <c r="D29" i="3"/>
  <c r="E29" i="3"/>
  <c r="C30" i="3"/>
  <c r="D30" i="3"/>
  <c r="E30" i="3"/>
  <c r="C31" i="3"/>
  <c r="E31" i="3"/>
  <c r="C32" i="3"/>
  <c r="E32" i="3"/>
  <c r="C33" i="3"/>
  <c r="E33" i="3"/>
  <c r="E37" i="3"/>
  <c r="C38" i="3"/>
  <c r="E38" i="3"/>
  <c r="D39" i="3"/>
  <c r="E39" i="3"/>
  <c r="D40" i="3"/>
  <c r="E40" i="3"/>
  <c r="C41" i="3"/>
  <c r="F41" i="3" s="1"/>
  <c r="D41" i="3"/>
  <c r="E41" i="3"/>
  <c r="C42" i="3"/>
  <c r="E42" i="3"/>
  <c r="E46" i="3"/>
  <c r="D47" i="3"/>
  <c r="E47" i="3"/>
  <c r="D48" i="3"/>
  <c r="E48" i="3"/>
  <c r="E49" i="3"/>
  <c r="C50" i="3"/>
  <c r="D50" i="3"/>
  <c r="E50" i="3"/>
  <c r="D51" i="3"/>
  <c r="E51" i="3"/>
  <c r="C55" i="3"/>
  <c r="D55" i="3"/>
  <c r="E55" i="3"/>
  <c r="C56" i="3"/>
  <c r="E56" i="3"/>
  <c r="C57" i="3"/>
  <c r="E57" i="3"/>
  <c r="C58" i="3"/>
  <c r="D58" i="3"/>
  <c r="E58" i="3"/>
  <c r="F58" i="3" s="1"/>
  <c r="C59" i="3"/>
  <c r="D59" i="3"/>
  <c r="E59" i="3"/>
  <c r="C60" i="3"/>
  <c r="D60" i="3"/>
  <c r="E60" i="3"/>
  <c r="C64" i="3"/>
  <c r="D64" i="3"/>
  <c r="E64" i="3"/>
  <c r="C65" i="3"/>
  <c r="D65" i="3"/>
  <c r="E65" i="3"/>
  <c r="C66" i="3"/>
  <c r="D66" i="3"/>
  <c r="E66" i="3"/>
  <c r="D67" i="3"/>
  <c r="E67" i="3"/>
  <c r="C68" i="3"/>
  <c r="E68" i="3"/>
  <c r="D69" i="3"/>
  <c r="E69" i="3"/>
  <c r="D73" i="3"/>
  <c r="E73" i="3"/>
  <c r="E74" i="3"/>
  <c r="E75" i="3"/>
  <c r="D76" i="3"/>
  <c r="E76" i="3"/>
  <c r="C77" i="3"/>
  <c r="D77" i="3"/>
  <c r="E77" i="3"/>
  <c r="E78" i="3"/>
  <c r="E82" i="3"/>
  <c r="D83" i="3"/>
  <c r="E83" i="3"/>
  <c r="D84" i="3"/>
  <c r="E84" i="3"/>
  <c r="E85" i="3"/>
  <c r="C86" i="3"/>
  <c r="D86" i="3"/>
  <c r="E86" i="3"/>
  <c r="C87" i="3"/>
  <c r="D87" i="3"/>
  <c r="E87" i="3"/>
  <c r="E91" i="3"/>
  <c r="C92" i="3"/>
  <c r="E92" i="3"/>
  <c r="C93" i="3"/>
  <c r="E93" i="3"/>
  <c r="D94" i="3"/>
  <c r="E94" i="3"/>
  <c r="C95" i="3"/>
  <c r="D95" i="3"/>
  <c r="E95" i="3"/>
  <c r="E96" i="3"/>
  <c r="D100" i="3"/>
  <c r="E100" i="3"/>
  <c r="D101" i="3"/>
  <c r="E101" i="3"/>
  <c r="E102" i="3"/>
  <c r="E103" i="3"/>
  <c r="C104" i="3"/>
  <c r="D104" i="3"/>
  <c r="E104" i="3"/>
  <c r="D105" i="3"/>
  <c r="E105" i="3"/>
  <c r="D109" i="3"/>
  <c r="E109" i="3"/>
  <c r="F109" i="3" s="1"/>
  <c r="E110" i="3"/>
  <c r="D111" i="3"/>
  <c r="E111" i="3"/>
  <c r="E112" i="3"/>
  <c r="C113" i="3"/>
  <c r="E113" i="3"/>
  <c r="C114" i="3"/>
  <c r="E114" i="3"/>
  <c r="D118" i="3"/>
  <c r="E118" i="3"/>
  <c r="D119" i="3"/>
  <c r="E119" i="3"/>
  <c r="D120" i="3"/>
  <c r="E120" i="3"/>
  <c r="E121" i="3"/>
  <c r="C122" i="3"/>
  <c r="E122" i="3"/>
  <c r="E123" i="3"/>
  <c r="D127" i="3"/>
  <c r="E127" i="3"/>
  <c r="E128" i="3"/>
  <c r="C129" i="3"/>
  <c r="D129" i="3"/>
  <c r="E129" i="3"/>
  <c r="D130" i="3"/>
  <c r="E130" i="3"/>
  <c r="C131" i="3"/>
  <c r="D131" i="3"/>
  <c r="E131" i="3"/>
  <c r="E132" i="3"/>
  <c r="E136" i="3"/>
  <c r="C137" i="3"/>
  <c r="E137" i="3"/>
  <c r="E138" i="3"/>
  <c r="E139" i="3"/>
  <c r="C140" i="3"/>
  <c r="D140" i="3"/>
  <c r="E140" i="3"/>
  <c r="C141" i="3"/>
  <c r="D141" i="3"/>
  <c r="E141" i="3"/>
  <c r="C145" i="3"/>
  <c r="F145" i="3" s="1"/>
  <c r="D145" i="3"/>
  <c r="E145" i="3"/>
  <c r="C146" i="3"/>
  <c r="E146" i="3"/>
  <c r="C147" i="3"/>
  <c r="E147" i="3"/>
  <c r="C148" i="3"/>
  <c r="D148" i="3"/>
  <c r="E148" i="3"/>
  <c r="C149" i="3"/>
  <c r="E149" i="3"/>
  <c r="C150" i="3"/>
  <c r="D150" i="3"/>
  <c r="E150" i="3"/>
  <c r="D154" i="3"/>
  <c r="E154" i="3"/>
  <c r="D155" i="3"/>
  <c r="E155" i="3"/>
  <c r="D156" i="3"/>
  <c r="E156" i="3"/>
  <c r="E157" i="3"/>
  <c r="C158" i="3"/>
  <c r="E158" i="3"/>
  <c r="C159" i="3"/>
  <c r="D159" i="3"/>
  <c r="E159" i="3"/>
  <c r="D163" i="3"/>
  <c r="E163" i="3"/>
  <c r="D164" i="3"/>
  <c r="E164" i="3"/>
  <c r="D165" i="3"/>
  <c r="E165" i="3"/>
  <c r="D166" i="3"/>
  <c r="E166" i="3"/>
  <c r="D167" i="3"/>
  <c r="E167" i="3"/>
  <c r="D168" i="3"/>
  <c r="E168" i="3"/>
  <c r="E172" i="3"/>
  <c r="D173" i="3"/>
  <c r="E173" i="3"/>
  <c r="D174" i="3"/>
  <c r="E174" i="3"/>
  <c r="E175" i="3"/>
  <c r="D176" i="3"/>
  <c r="E176" i="3"/>
  <c r="C177" i="3"/>
  <c r="F177" i="3" s="1"/>
  <c r="D177" i="3"/>
  <c r="E177" i="3"/>
  <c r="E190" i="3"/>
  <c r="D191" i="3"/>
  <c r="E191" i="3"/>
  <c r="D192" i="3"/>
  <c r="E192" i="3"/>
  <c r="E193" i="3"/>
  <c r="C194" i="3"/>
  <c r="E194" i="3"/>
  <c r="C195" i="3"/>
  <c r="D195" i="3"/>
  <c r="E195" i="3"/>
  <c r="E199" i="3"/>
  <c r="D200" i="3"/>
  <c r="E200" i="3"/>
  <c r="E201" i="3"/>
  <c r="D202" i="3"/>
  <c r="E202" i="3"/>
  <c r="E203" i="3"/>
  <c r="E204" i="3"/>
  <c r="E208" i="3"/>
  <c r="D209" i="3"/>
  <c r="E209" i="3"/>
  <c r="E210" i="3"/>
  <c r="D211" i="3"/>
  <c r="E211" i="3"/>
  <c r="E212" i="3"/>
  <c r="C213" i="3"/>
  <c r="F213" i="3" s="1"/>
  <c r="D213" i="3"/>
  <c r="E213" i="3"/>
  <c r="C46" i="3"/>
  <c r="C91" i="3"/>
  <c r="C109" i="3"/>
  <c r="C118" i="3"/>
  <c r="C154" i="3"/>
  <c r="C163" i="3"/>
  <c r="C172" i="3"/>
  <c r="C199" i="3"/>
  <c r="C74" i="3"/>
  <c r="C101" i="3"/>
  <c r="C128" i="3"/>
  <c r="C173" i="3"/>
  <c r="C21" i="3"/>
  <c r="C75" i="3"/>
  <c r="C120" i="3"/>
  <c r="C174" i="3"/>
  <c r="F174" i="3" s="1"/>
  <c r="C210" i="3"/>
  <c r="C22" i="3"/>
  <c r="C76" i="3"/>
  <c r="C85" i="3"/>
  <c r="C94" i="3"/>
  <c r="C103" i="3"/>
  <c r="C112" i="3"/>
  <c r="C202" i="3"/>
  <c r="B64" i="3"/>
  <c r="B66" i="3"/>
  <c r="B67" i="3"/>
  <c r="B74" i="3"/>
  <c r="F74" i="3" s="1"/>
  <c r="B82" i="3"/>
  <c r="B163" i="3"/>
  <c r="B164" i="3"/>
  <c r="B165" i="3"/>
  <c r="B166" i="3"/>
  <c r="B175" i="3"/>
  <c r="B192" i="3"/>
  <c r="B193" i="3"/>
  <c r="B199" i="3"/>
  <c r="B200" i="3"/>
  <c r="B201" i="3"/>
  <c r="B208" i="3"/>
  <c r="B210" i="3"/>
  <c r="D11" i="4"/>
  <c r="D10" i="4"/>
  <c r="F20" i="10"/>
  <c r="F23" i="10"/>
  <c r="G23" i="10" s="1"/>
  <c r="E32" i="4"/>
  <c r="F9" i="4"/>
  <c r="G23" i="5"/>
  <c r="G41" i="5"/>
  <c r="G11" i="5"/>
  <c r="G10" i="5"/>
  <c r="G9" i="5"/>
  <c r="F212" i="6"/>
  <c r="G41" i="7"/>
  <c r="G9" i="7"/>
  <c r="G41" i="10"/>
  <c r="G33" i="10"/>
  <c r="G9" i="10"/>
  <c r="G11" i="10"/>
  <c r="B190" i="3"/>
  <c r="B14" i="2"/>
  <c r="B73" i="2"/>
  <c r="D158" i="3"/>
  <c r="B45" i="2"/>
  <c r="B90" i="2"/>
  <c r="D184" i="3"/>
  <c r="C119" i="3"/>
  <c r="D198" i="2"/>
  <c r="C166" i="3"/>
  <c r="F41" i="4"/>
  <c r="B181" i="3"/>
  <c r="G11" i="7"/>
  <c r="F11" i="4"/>
  <c r="C130" i="3"/>
  <c r="C190" i="3"/>
  <c r="G10" i="10"/>
  <c r="F13" i="10"/>
  <c r="F223" i="11"/>
  <c r="E184" i="3"/>
  <c r="F184" i="3"/>
  <c r="C164" i="3"/>
  <c r="G10" i="7"/>
  <c r="F10" i="4"/>
  <c r="C10" i="4"/>
  <c r="C82" i="3"/>
  <c r="C209" i="3"/>
  <c r="B32" i="4"/>
  <c r="B120" i="2"/>
  <c r="B126" i="2"/>
  <c r="C191" i="3"/>
  <c r="C73" i="3"/>
  <c r="F213" i="8"/>
  <c r="E153" i="2"/>
  <c r="B209" i="2"/>
  <c r="B162" i="2"/>
  <c r="C165" i="3"/>
  <c r="C48" i="3"/>
  <c r="C136" i="3"/>
  <c r="C102" i="3"/>
  <c r="C200" i="3"/>
  <c r="B137" i="2"/>
  <c r="E154" i="2"/>
  <c r="E25" i="5"/>
  <c r="B174" i="2"/>
  <c r="B81" i="2"/>
  <c r="E18" i="5"/>
  <c r="B19" i="5"/>
  <c r="B157" i="3"/>
  <c r="C21" i="5"/>
  <c r="B207" i="2"/>
  <c r="C199" i="2"/>
  <c r="B191" i="2"/>
  <c r="C18" i="5"/>
  <c r="E21" i="5"/>
  <c r="F186" i="17"/>
  <c r="B21" i="5"/>
  <c r="E156" i="2"/>
  <c r="B69" i="2"/>
  <c r="F118" i="3"/>
  <c r="E9" i="4"/>
  <c r="F86" i="3"/>
  <c r="D212" i="3"/>
  <c r="D201" i="3"/>
  <c r="D49" i="3"/>
  <c r="G12" i="2"/>
  <c r="G48" i="2"/>
  <c r="D121" i="3"/>
  <c r="D13" i="3"/>
  <c r="D208" i="3"/>
  <c r="B10" i="4"/>
  <c r="B123" i="2"/>
  <c r="B33" i="4"/>
  <c r="C9" i="4"/>
  <c r="B189" i="2"/>
  <c r="B150" i="2"/>
  <c r="B22" i="4" s="1"/>
  <c r="B22" i="5"/>
  <c r="G63" i="2"/>
  <c r="G32" i="5"/>
  <c r="E97" i="3"/>
  <c r="G13" i="10"/>
  <c r="F13" i="3"/>
  <c r="B156" i="3"/>
  <c r="F222" i="17"/>
  <c r="D155" i="2"/>
  <c r="B94" i="3"/>
  <c r="F223" i="17"/>
  <c r="F85" i="3"/>
  <c r="B92" i="3"/>
  <c r="F96" i="17"/>
  <c r="G85" i="2"/>
  <c r="E155" i="2"/>
  <c r="G139" i="2"/>
  <c r="B12" i="2"/>
  <c r="D156" i="2"/>
  <c r="B156" i="2"/>
  <c r="B24" i="5"/>
  <c r="B25" i="5"/>
  <c r="G24" i="5"/>
  <c r="B17" i="5"/>
  <c r="G33" i="4" l="1"/>
  <c r="C13" i="4"/>
  <c r="B196" i="3"/>
  <c r="B215" i="17"/>
  <c r="G149" i="2"/>
  <c r="B61" i="3"/>
  <c r="F46" i="3"/>
  <c r="F149" i="3"/>
  <c r="G73" i="2"/>
  <c r="D213" i="2"/>
  <c r="B169" i="3"/>
  <c r="F155" i="2"/>
  <c r="E215" i="17"/>
  <c r="F68" i="3"/>
  <c r="B205" i="3"/>
  <c r="B70" i="3"/>
  <c r="B225" i="3"/>
  <c r="G22" i="2"/>
  <c r="F104" i="3"/>
  <c r="G86" i="2"/>
  <c r="F200" i="3"/>
  <c r="F163" i="3"/>
  <c r="B79" i="3"/>
  <c r="C223" i="2"/>
  <c r="D57" i="3"/>
  <c r="F57" i="3" s="1"/>
  <c r="F56" i="2"/>
  <c r="D195" i="8"/>
  <c r="D190" i="2"/>
  <c r="F66" i="3"/>
  <c r="E205" i="3"/>
  <c r="F150" i="3"/>
  <c r="C151" i="3"/>
  <c r="F141" i="3"/>
  <c r="E142" i="3"/>
  <c r="C23" i="3"/>
  <c r="F24" i="3"/>
  <c r="F221" i="17"/>
  <c r="F13" i="7"/>
  <c r="F23" i="2"/>
  <c r="G23" i="2" s="1"/>
  <c r="F225" i="8"/>
  <c r="C168" i="3"/>
  <c r="F167" i="2"/>
  <c r="C20" i="3"/>
  <c r="F19" i="2"/>
  <c r="G19" i="2" s="1"/>
  <c r="D220" i="2"/>
  <c r="E42" i="9"/>
  <c r="E36" i="2"/>
  <c r="B18" i="7"/>
  <c r="E105" i="9"/>
  <c r="E186" i="9"/>
  <c r="D227" i="17"/>
  <c r="F210" i="3"/>
  <c r="F129" i="3"/>
  <c r="E61" i="3"/>
  <c r="C225" i="2"/>
  <c r="F194" i="3"/>
  <c r="F120" i="3"/>
  <c r="F95" i="3"/>
  <c r="F23" i="3"/>
  <c r="F31" i="2"/>
  <c r="F33" i="8"/>
  <c r="D38" i="3"/>
  <c r="F21" i="2"/>
  <c r="G21" i="2" s="1"/>
  <c r="D221" i="2"/>
  <c r="E224" i="2"/>
  <c r="F175" i="3"/>
  <c r="F191" i="3"/>
  <c r="F76" i="3"/>
  <c r="F17" i="5"/>
  <c r="F32" i="2"/>
  <c r="F209" i="2"/>
  <c r="D225" i="2"/>
  <c r="D223" i="2"/>
  <c r="E225" i="2"/>
  <c r="F211" i="3"/>
  <c r="E222" i="2"/>
  <c r="F65" i="3"/>
  <c r="F91" i="2"/>
  <c r="F180" i="2"/>
  <c r="F198" i="2"/>
  <c r="F127" i="2"/>
  <c r="F148" i="2"/>
  <c r="G148" i="2" s="1"/>
  <c r="F185" i="2"/>
  <c r="D132" i="3"/>
  <c r="F131" i="2"/>
  <c r="G131" i="2" s="1"/>
  <c r="F32" i="4"/>
  <c r="D58" i="2"/>
  <c r="G58" i="2" s="1"/>
  <c r="D25" i="7"/>
  <c r="E180" i="2"/>
  <c r="B221" i="3"/>
  <c r="D222" i="8"/>
  <c r="D83" i="2"/>
  <c r="D222" i="2" s="1"/>
  <c r="C19" i="3"/>
  <c r="F19" i="3" s="1"/>
  <c r="F220" i="17"/>
  <c r="C84" i="3"/>
  <c r="F84" i="3" s="1"/>
  <c r="E43" i="3"/>
  <c r="B93" i="3"/>
  <c r="F93" i="3" s="1"/>
  <c r="F92" i="2"/>
  <c r="F163" i="2"/>
  <c r="F174" i="2"/>
  <c r="D136" i="3"/>
  <c r="F135" i="2"/>
  <c r="C21" i="7"/>
  <c r="C180" i="2"/>
  <c r="C186" i="2" s="1"/>
  <c r="F24" i="8"/>
  <c r="D103" i="3"/>
  <c r="B224" i="2"/>
  <c r="F81" i="2"/>
  <c r="F113" i="2"/>
  <c r="G113" i="2" s="1"/>
  <c r="F164" i="2"/>
  <c r="G164" i="2" s="1"/>
  <c r="D31" i="3"/>
  <c r="F30" i="2"/>
  <c r="G30" i="2" s="1"/>
  <c r="F183" i="2"/>
  <c r="D103" i="2"/>
  <c r="G103" i="2" s="1"/>
  <c r="E226" i="3"/>
  <c r="B178" i="3"/>
  <c r="B151" i="3"/>
  <c r="B106" i="3"/>
  <c r="B88" i="3"/>
  <c r="B43" i="3"/>
  <c r="B34" i="3"/>
  <c r="F15" i="8"/>
  <c r="F13" i="2"/>
  <c r="F45" i="2"/>
  <c r="F67" i="2"/>
  <c r="C192" i="3"/>
  <c r="F191" i="2"/>
  <c r="D56" i="3"/>
  <c r="D61" i="3" s="1"/>
  <c r="F55" i="2"/>
  <c r="F223" i="9"/>
  <c r="C221" i="2"/>
  <c r="D15" i="8"/>
  <c r="E221" i="2"/>
  <c r="G20" i="5"/>
  <c r="G102" i="2"/>
  <c r="F48" i="3"/>
  <c r="E169" i="3"/>
  <c r="G165" i="2"/>
  <c r="G162" i="2"/>
  <c r="F227" i="11"/>
  <c r="E106" i="3"/>
  <c r="F17" i="10"/>
  <c r="G17" i="10" s="1"/>
  <c r="E16" i="3"/>
  <c r="G19" i="10"/>
  <c r="G163" i="2"/>
  <c r="G75" i="2"/>
  <c r="G130" i="2"/>
  <c r="B51" i="2"/>
  <c r="D168" i="2"/>
  <c r="D24" i="4" s="1"/>
  <c r="G20" i="10"/>
  <c r="B42" i="2"/>
  <c r="G155" i="2"/>
  <c r="C195" i="2"/>
  <c r="F103" i="3"/>
  <c r="G57" i="2"/>
  <c r="F38" i="3"/>
  <c r="C34" i="3"/>
  <c r="F12" i="3"/>
  <c r="E159" i="2"/>
  <c r="E23" i="4" s="1"/>
  <c r="G135" i="2"/>
  <c r="G65" i="2"/>
  <c r="C78" i="2"/>
  <c r="C15" i="2"/>
  <c r="B24" i="2"/>
  <c r="B33" i="2"/>
  <c r="B225" i="2"/>
  <c r="F25" i="5"/>
  <c r="G22" i="5"/>
  <c r="G144" i="2"/>
  <c r="F136" i="3"/>
  <c r="B142" i="3"/>
  <c r="F21" i="5"/>
  <c r="G21" i="5" s="1"/>
  <c r="B133" i="3"/>
  <c r="B124" i="3"/>
  <c r="B115" i="3"/>
  <c r="C114" i="2"/>
  <c r="C20" i="4" s="1"/>
  <c r="F19" i="5"/>
  <c r="F47" i="3"/>
  <c r="F18" i="5"/>
  <c r="F29" i="3"/>
  <c r="G28" i="2"/>
  <c r="F227" i="17"/>
  <c r="G11" i="4"/>
  <c r="F13" i="4"/>
  <c r="G167" i="2"/>
  <c r="D141" i="2"/>
  <c r="D51" i="2"/>
  <c r="G38" i="2"/>
  <c r="D15" i="2"/>
  <c r="G9" i="4"/>
  <c r="G29" i="2"/>
  <c r="D33" i="2"/>
  <c r="G59" i="2"/>
  <c r="G47" i="2"/>
  <c r="C213" i="2"/>
  <c r="B15" i="2"/>
  <c r="G108" i="2"/>
  <c r="G49" i="2"/>
  <c r="G127" i="2"/>
  <c r="G11" i="2"/>
  <c r="G40" i="2"/>
  <c r="B223" i="2"/>
  <c r="D147" i="3"/>
  <c r="F147" i="3" s="1"/>
  <c r="G146" i="2"/>
  <c r="E223" i="11"/>
  <c r="D205" i="3"/>
  <c r="F195" i="8"/>
  <c r="G13" i="7"/>
  <c r="D196" i="3"/>
  <c r="D123" i="3"/>
  <c r="D124" i="3" s="1"/>
  <c r="E223" i="3"/>
  <c r="F28" i="3"/>
  <c r="G39" i="2"/>
  <c r="C40" i="3"/>
  <c r="F40" i="3" s="1"/>
  <c r="F221" i="8"/>
  <c r="F60" i="8"/>
  <c r="F105" i="8"/>
  <c r="G99" i="2"/>
  <c r="C100" i="3"/>
  <c r="F100" i="3" s="1"/>
  <c r="C111" i="3"/>
  <c r="F111" i="3" s="1"/>
  <c r="G110" i="2"/>
  <c r="C127" i="3"/>
  <c r="F127" i="3" s="1"/>
  <c r="C139" i="3"/>
  <c r="F139" i="3" s="1"/>
  <c r="G138" i="2"/>
  <c r="F182" i="3"/>
  <c r="C182" i="3"/>
  <c r="C193" i="3"/>
  <c r="F193" i="3" s="1"/>
  <c r="C204" i="3"/>
  <c r="F204" i="3" s="1"/>
  <c r="F203" i="2"/>
  <c r="G10" i="2"/>
  <c r="D11" i="3"/>
  <c r="F11" i="3" s="1"/>
  <c r="F221" i="9"/>
  <c r="D33" i="3"/>
  <c r="F33" i="3" s="1"/>
  <c r="F51" i="9"/>
  <c r="D82" i="3"/>
  <c r="D88" i="3" s="1"/>
  <c r="F87" i="9"/>
  <c r="D113" i="3"/>
  <c r="G112" i="2"/>
  <c r="F213" i="9"/>
  <c r="B20" i="5"/>
  <c r="B27" i="5" s="1"/>
  <c r="B114" i="2"/>
  <c r="B20" i="4" s="1"/>
  <c r="D150" i="8"/>
  <c r="D150" i="2"/>
  <c r="D22" i="4" s="1"/>
  <c r="E69" i="9"/>
  <c r="E195" i="2"/>
  <c r="C39" i="3"/>
  <c r="F39" i="3" s="1"/>
  <c r="F42" i="8"/>
  <c r="F222" i="8"/>
  <c r="F87" i="8"/>
  <c r="G82" i="2"/>
  <c r="G122" i="2"/>
  <c r="F123" i="8"/>
  <c r="C167" i="3"/>
  <c r="C169" i="3" s="1"/>
  <c r="F168" i="8"/>
  <c r="D10" i="3"/>
  <c r="F10" i="3" s="1"/>
  <c r="F15" i="9"/>
  <c r="D42" i="3"/>
  <c r="F42" i="9"/>
  <c r="F18" i="7" s="1"/>
  <c r="G18" i="7" s="1"/>
  <c r="G41" i="2"/>
  <c r="D78" i="8"/>
  <c r="B224" i="3"/>
  <c r="F22" i="3"/>
  <c r="C203" i="3"/>
  <c r="E196" i="3"/>
  <c r="F137" i="3"/>
  <c r="C123" i="3"/>
  <c r="F123" i="3" s="1"/>
  <c r="F159" i="3"/>
  <c r="F130" i="3"/>
  <c r="G140" i="2"/>
  <c r="B141" i="2"/>
  <c r="B135" i="2"/>
  <c r="E220" i="11"/>
  <c r="E227" i="11" s="1"/>
  <c r="E25" i="10"/>
  <c r="C138" i="3"/>
  <c r="F141" i="8"/>
  <c r="D32" i="3"/>
  <c r="F159" i="17"/>
  <c r="F215" i="17" s="1"/>
  <c r="F183" i="3"/>
  <c r="F224" i="9"/>
  <c r="F55" i="3"/>
  <c r="F166" i="3"/>
  <c r="F64" i="3"/>
  <c r="F195" i="3"/>
  <c r="C132" i="2"/>
  <c r="C168" i="2"/>
  <c r="C24" i="4" s="1"/>
  <c r="C60" i="2"/>
  <c r="F33" i="9"/>
  <c r="G18" i="10"/>
  <c r="F21" i="10"/>
  <c r="D42" i="2"/>
  <c r="G56" i="2"/>
  <c r="E11" i="4"/>
  <c r="E13" i="4" s="1"/>
  <c r="D221" i="8"/>
  <c r="D114" i="8"/>
  <c r="D114" i="2"/>
  <c r="D20" i="4" s="1"/>
  <c r="C223" i="8"/>
  <c r="C141" i="2"/>
  <c r="E132" i="9"/>
  <c r="E132" i="2"/>
  <c r="B186" i="9"/>
  <c r="B25" i="7" s="1"/>
  <c r="B180" i="2"/>
  <c r="B186" i="2" s="1"/>
  <c r="E224" i="3"/>
  <c r="E25" i="3"/>
  <c r="C196" i="3"/>
  <c r="G101" i="2"/>
  <c r="D102" i="3"/>
  <c r="F102" i="3" s="1"/>
  <c r="G111" i="2"/>
  <c r="D112" i="3"/>
  <c r="D157" i="3"/>
  <c r="D160" i="3" s="1"/>
  <c r="F159" i="9"/>
  <c r="F23" i="7" s="1"/>
  <c r="G23" i="7" s="1"/>
  <c r="C155" i="2"/>
  <c r="C222" i="2" s="1"/>
  <c r="G90" i="2"/>
  <c r="B16" i="3"/>
  <c r="B25" i="3"/>
  <c r="F119" i="3"/>
  <c r="D78" i="3"/>
  <c r="B214" i="3"/>
  <c r="D91" i="3"/>
  <c r="D97" i="3" s="1"/>
  <c r="F105" i="9"/>
  <c r="E181" i="3"/>
  <c r="E187" i="3" s="1"/>
  <c r="F186" i="11"/>
  <c r="F25" i="10" s="1"/>
  <c r="G25" i="10" s="1"/>
  <c r="E42" i="2"/>
  <c r="C25" i="5"/>
  <c r="E221" i="8"/>
  <c r="D141" i="8"/>
  <c r="C18" i="7"/>
  <c r="C16" i="3"/>
  <c r="C69" i="3"/>
  <c r="F69" i="3" s="1"/>
  <c r="C110" i="3"/>
  <c r="C115" i="3" s="1"/>
  <c r="F114" i="8"/>
  <c r="C181" i="3"/>
  <c r="C187" i="3" s="1"/>
  <c r="F181" i="3"/>
  <c r="F187" i="3" s="1"/>
  <c r="F186" i="8"/>
  <c r="G10" i="4"/>
  <c r="C83" i="3"/>
  <c r="D25" i="5"/>
  <c r="B204" i="2"/>
  <c r="B198" i="2"/>
  <c r="B213" i="2"/>
  <c r="B208" i="2"/>
  <c r="F112" i="3"/>
  <c r="F154" i="2"/>
  <c r="B155" i="3"/>
  <c r="F155" i="3" s="1"/>
  <c r="C14" i="3"/>
  <c r="F14" i="3" s="1"/>
  <c r="G13" i="2"/>
  <c r="B37" i="5"/>
  <c r="B43" i="5" s="1"/>
  <c r="C39" i="5" s="1"/>
  <c r="B226" i="3"/>
  <c r="F82" i="3"/>
  <c r="D169" i="3"/>
  <c r="F101" i="3"/>
  <c r="F56" i="3"/>
  <c r="F50" i="3"/>
  <c r="D52" i="3"/>
  <c r="C25" i="10"/>
  <c r="D159" i="2"/>
  <c r="D23" i="4" s="1"/>
  <c r="C198" i="2"/>
  <c r="C204" i="2" s="1"/>
  <c r="E222" i="9"/>
  <c r="B227" i="9"/>
  <c r="D70" i="3"/>
  <c r="D41" i="4"/>
  <c r="G41" i="4" s="1"/>
  <c r="G47" i="6"/>
  <c r="C51" i="3"/>
  <c r="F51" i="3" s="1"/>
  <c r="F51" i="8"/>
  <c r="G50" i="2"/>
  <c r="G95" i="2"/>
  <c r="C96" i="3"/>
  <c r="F96" i="3" s="1"/>
  <c r="F159" i="8"/>
  <c r="C156" i="3"/>
  <c r="C160" i="3" s="1"/>
  <c r="F222" i="9"/>
  <c r="D21" i="3"/>
  <c r="D172" i="3"/>
  <c r="F172" i="3" s="1"/>
  <c r="F220" i="8"/>
  <c r="G9" i="2"/>
  <c r="D146" i="3"/>
  <c r="F156" i="2"/>
  <c r="G156" i="2" s="1"/>
  <c r="D182" i="3"/>
  <c r="F186" i="9"/>
  <c r="F195" i="9"/>
  <c r="E105" i="2"/>
  <c r="B153" i="2"/>
  <c r="D195" i="2"/>
  <c r="E225" i="9"/>
  <c r="B187" i="3"/>
  <c r="F164" i="3"/>
  <c r="F202" i="3"/>
  <c r="E214" i="3"/>
  <c r="E124" i="3"/>
  <c r="E52" i="3"/>
  <c r="C150" i="2"/>
  <c r="C22" i="4" s="1"/>
  <c r="D43" i="3"/>
  <c r="F158" i="2"/>
  <c r="G158" i="2" s="1"/>
  <c r="D42" i="8"/>
  <c r="D168" i="8"/>
  <c r="E213" i="2"/>
  <c r="C227" i="9"/>
  <c r="D227" i="9"/>
  <c r="C17" i="10"/>
  <c r="C27" i="10" s="1"/>
  <c r="C19" i="10"/>
  <c r="C21" i="10"/>
  <c r="B222" i="2"/>
  <c r="F208" i="3"/>
  <c r="G92" i="2"/>
  <c r="D87" i="2"/>
  <c r="D204" i="2"/>
  <c r="E160" i="3"/>
  <c r="F140" i="3"/>
  <c r="E88" i="3"/>
  <c r="C61" i="3"/>
  <c r="F42" i="3"/>
  <c r="C51" i="2"/>
  <c r="C18" i="4" s="1"/>
  <c r="F114" i="3"/>
  <c r="B52" i="3"/>
  <c r="G83" i="2"/>
  <c r="F20" i="3"/>
  <c r="B87" i="2"/>
  <c r="D213" i="8"/>
  <c r="B17" i="7"/>
  <c r="E60" i="9"/>
  <c r="E159" i="9"/>
  <c r="E23" i="7" s="1"/>
  <c r="C227" i="11"/>
  <c r="F209" i="3"/>
  <c r="F158" i="3"/>
  <c r="E133" i="3"/>
  <c r="F122" i="3"/>
  <c r="F87" i="3"/>
  <c r="C105" i="2"/>
  <c r="C33" i="2"/>
  <c r="F113" i="3"/>
  <c r="F31" i="3"/>
  <c r="G117" i="2"/>
  <c r="G157" i="2"/>
  <c r="G128" i="2"/>
  <c r="F204" i="9"/>
  <c r="G20" i="2"/>
  <c r="D33" i="8"/>
  <c r="D96" i="8"/>
  <c r="E123" i="2"/>
  <c r="B154" i="2"/>
  <c r="D17" i="7"/>
  <c r="C19" i="7"/>
  <c r="E195" i="9"/>
  <c r="C123" i="2"/>
  <c r="F190" i="3"/>
  <c r="C97" i="3"/>
  <c r="E151" i="3"/>
  <c r="F148" i="3"/>
  <c r="F59" i="3"/>
  <c r="G39" i="6"/>
  <c r="G41" i="6" s="1"/>
  <c r="G48" i="6" s="1"/>
  <c r="G54" i="6" s="1"/>
  <c r="F114" i="9"/>
  <c r="F20" i="7" s="1"/>
  <c r="G20" i="7" s="1"/>
  <c r="F177" i="9"/>
  <c r="C19" i="5"/>
  <c r="D87" i="8"/>
  <c r="E123" i="9"/>
  <c r="D21" i="7"/>
  <c r="B21" i="7"/>
  <c r="F157" i="3"/>
  <c r="D13" i="4"/>
  <c r="F173" i="3"/>
  <c r="C69" i="2"/>
  <c r="F96" i="8"/>
  <c r="F153" i="2"/>
  <c r="G153" i="2" s="1"/>
  <c r="F24" i="9"/>
  <c r="D17" i="5"/>
  <c r="D19" i="5"/>
  <c r="C220" i="8"/>
  <c r="D159" i="8"/>
  <c r="D177" i="8"/>
  <c r="D204" i="8"/>
  <c r="E33" i="9"/>
  <c r="E78" i="9"/>
  <c r="F165" i="3"/>
  <c r="G46" i="2"/>
  <c r="F199" i="3"/>
  <c r="F192" i="3"/>
  <c r="E79" i="3"/>
  <c r="E70" i="3"/>
  <c r="F168" i="3"/>
  <c r="D60" i="2"/>
  <c r="G67" i="2"/>
  <c r="G121" i="2"/>
  <c r="G136" i="2"/>
  <c r="F150" i="9"/>
  <c r="F22" i="7" s="1"/>
  <c r="G22" i="7" s="1"/>
  <c r="D18" i="5"/>
  <c r="D224" i="8"/>
  <c r="C25" i="7"/>
  <c r="B222" i="3"/>
  <c r="F92" i="3"/>
  <c r="F94" i="3"/>
  <c r="G154" i="2"/>
  <c r="F83" i="3"/>
  <c r="F220" i="9"/>
  <c r="F225" i="9"/>
  <c r="D15" i="3"/>
  <c r="D75" i="3"/>
  <c r="E223" i="8"/>
  <c r="E225" i="8"/>
  <c r="C222" i="8"/>
  <c r="D19" i="7"/>
  <c r="D27" i="7" s="1"/>
  <c r="D30" i="7" s="1"/>
  <c r="D37" i="7" s="1"/>
  <c r="D215" i="9"/>
  <c r="B19" i="7"/>
  <c r="E141" i="9"/>
  <c r="E21" i="7" s="1"/>
  <c r="E17" i="10"/>
  <c r="E27" i="10" s="1"/>
  <c r="E30" i="10" s="1"/>
  <c r="E37" i="10" s="1"/>
  <c r="D106" i="3"/>
  <c r="C96" i="2"/>
  <c r="C37" i="3"/>
  <c r="F223" i="8"/>
  <c r="C49" i="3"/>
  <c r="F69" i="8"/>
  <c r="C67" i="3"/>
  <c r="C70" i="3" s="1"/>
  <c r="C78" i="3"/>
  <c r="C79" i="3" s="1"/>
  <c r="G77" i="2"/>
  <c r="F78" i="8"/>
  <c r="C105" i="3"/>
  <c r="F105" i="3" s="1"/>
  <c r="C121" i="3"/>
  <c r="C132" i="3"/>
  <c r="F132" i="3" s="1"/>
  <c r="F132" i="8"/>
  <c r="F177" i="8"/>
  <c r="C176" i="3"/>
  <c r="F176" i="3" s="1"/>
  <c r="F224" i="8"/>
  <c r="F200" i="2"/>
  <c r="F204" i="2" s="1"/>
  <c r="C201" i="3"/>
  <c r="F201" i="3" s="1"/>
  <c r="F213" i="2"/>
  <c r="C212" i="3"/>
  <c r="F212" i="3" s="1"/>
  <c r="F69" i="9"/>
  <c r="D110" i="3"/>
  <c r="E19" i="5"/>
  <c r="D32" i="4"/>
  <c r="G32" i="4" s="1"/>
  <c r="B11" i="4"/>
  <c r="B13" i="4" s="1"/>
  <c r="D24" i="8"/>
  <c r="D220" i="8"/>
  <c r="B221" i="8"/>
  <c r="B82" i="2"/>
  <c r="E221" i="9"/>
  <c r="E24" i="9"/>
  <c r="E168" i="9"/>
  <c r="E24" i="7" s="1"/>
  <c r="E201" i="2"/>
  <c r="E223" i="2" s="1"/>
  <c r="E204" i="9"/>
  <c r="G37" i="2"/>
  <c r="D214" i="3"/>
  <c r="D221" i="3"/>
  <c r="F67" i="3"/>
  <c r="F60" i="9"/>
  <c r="B25" i="10"/>
  <c r="B27" i="10" s="1"/>
  <c r="B30" i="10" s="1"/>
  <c r="B37" i="10" s="1"/>
  <c r="B43" i="10" s="1"/>
  <c r="C39" i="10" s="1"/>
  <c r="E51" i="9"/>
  <c r="B227" i="11"/>
  <c r="C222" i="3"/>
  <c r="C25" i="3"/>
  <c r="C205" i="3"/>
  <c r="G13" i="5"/>
  <c r="F77" i="3"/>
  <c r="F110" i="3"/>
  <c r="C177" i="2"/>
  <c r="D177" i="2"/>
  <c r="F96" i="9"/>
  <c r="D69" i="2"/>
  <c r="D69" i="8"/>
  <c r="B223" i="8"/>
  <c r="E114" i="2"/>
  <c r="E20" i="4" s="1"/>
  <c r="E223" i="9"/>
  <c r="E15" i="9"/>
  <c r="E114" i="9"/>
  <c r="E20" i="7" s="1"/>
  <c r="E17" i="5"/>
  <c r="E222" i="8"/>
  <c r="E96" i="2"/>
  <c r="D132" i="8"/>
  <c r="G129" i="2"/>
  <c r="D223" i="8"/>
  <c r="G84" i="2"/>
  <c r="F196" i="3"/>
  <c r="F30" i="3"/>
  <c r="E225" i="3"/>
  <c r="E222" i="3"/>
  <c r="F141" i="9"/>
  <c r="E224" i="8"/>
  <c r="E60" i="2"/>
  <c r="E220" i="8"/>
  <c r="E224" i="9"/>
  <c r="E96" i="9"/>
  <c r="E220" i="9"/>
  <c r="F203" i="3"/>
  <c r="E178" i="3"/>
  <c r="D138" i="3"/>
  <c r="D142" i="3" s="1"/>
  <c r="F131" i="3"/>
  <c r="E34" i="3"/>
  <c r="F32" i="3"/>
  <c r="G32" i="2"/>
  <c r="F132" i="9"/>
  <c r="F21" i="7" s="1"/>
  <c r="G21" i="7" s="1"/>
  <c r="D128" i="3"/>
  <c r="D133" i="3" s="1"/>
  <c r="D24" i="10"/>
  <c r="G24" i="10" s="1"/>
  <c r="C17" i="5"/>
  <c r="C27" i="5" s="1"/>
  <c r="D186" i="2"/>
  <c r="D186" i="8"/>
  <c r="E87" i="9"/>
  <c r="E87" i="2"/>
  <c r="E150" i="9"/>
  <c r="E22" i="7" s="1"/>
  <c r="E150" i="2"/>
  <c r="E22" i="4" s="1"/>
  <c r="E115" i="3"/>
  <c r="F128" i="3"/>
  <c r="F73" i="3"/>
  <c r="G81" i="2"/>
  <c r="F215" i="11"/>
  <c r="D186" i="3"/>
  <c r="D187" i="3" s="1"/>
  <c r="D51" i="8"/>
  <c r="D225" i="8"/>
  <c r="B220" i="8"/>
  <c r="D123" i="8"/>
  <c r="E198" i="2"/>
  <c r="C215" i="9"/>
  <c r="C17" i="7"/>
  <c r="E177" i="9"/>
  <c r="E25" i="7" s="1"/>
  <c r="E177" i="2"/>
  <c r="E213" i="9"/>
  <c r="B215" i="9"/>
  <c r="F221" i="2" l="1"/>
  <c r="B223" i="3"/>
  <c r="B17" i="4"/>
  <c r="F222" i="2"/>
  <c r="B97" i="3"/>
  <c r="D105" i="2"/>
  <c r="G55" i="2"/>
  <c r="B18" i="4"/>
  <c r="F220" i="2"/>
  <c r="E220" i="2"/>
  <c r="F214" i="3"/>
  <c r="F223" i="2"/>
  <c r="F25" i="7"/>
  <c r="G25" i="7" s="1"/>
  <c r="E18" i="7"/>
  <c r="D225" i="3"/>
  <c r="D227" i="8"/>
  <c r="C142" i="3"/>
  <c r="C88" i="3"/>
  <c r="F27" i="5"/>
  <c r="F30" i="5" s="1"/>
  <c r="F37" i="5" s="1"/>
  <c r="C178" i="3"/>
  <c r="D27" i="5"/>
  <c r="D30" i="5" s="1"/>
  <c r="D37" i="5" s="1"/>
  <c r="F224" i="2"/>
  <c r="C220" i="2"/>
  <c r="C227" i="2" s="1"/>
  <c r="D224" i="2"/>
  <c r="D227" i="2" s="1"/>
  <c r="C27" i="7"/>
  <c r="C30" i="7" s="1"/>
  <c r="C37" i="7" s="1"/>
  <c r="E19" i="7"/>
  <c r="B220" i="2"/>
  <c r="F227" i="8"/>
  <c r="D178" i="3"/>
  <c r="F156" i="3"/>
  <c r="F160" i="3" s="1"/>
  <c r="D224" i="3"/>
  <c r="D27" i="10"/>
  <c r="D30" i="10" s="1"/>
  <c r="F225" i="2"/>
  <c r="G17" i="5"/>
  <c r="E141" i="2"/>
  <c r="E21" i="4" s="1"/>
  <c r="C21" i="4"/>
  <c r="C17" i="4"/>
  <c r="E204" i="2"/>
  <c r="D18" i="4"/>
  <c r="C227" i="8"/>
  <c r="C25" i="4"/>
  <c r="B227" i="8"/>
  <c r="G25" i="5"/>
  <c r="F178" i="3"/>
  <c r="F70" i="3"/>
  <c r="G19" i="5"/>
  <c r="F61" i="3"/>
  <c r="G18" i="5"/>
  <c r="F34" i="3"/>
  <c r="G13" i="4"/>
  <c r="E27" i="5"/>
  <c r="E30" i="5" s="1"/>
  <c r="E37" i="5" s="1"/>
  <c r="E78" i="2"/>
  <c r="D25" i="4"/>
  <c r="G159" i="2"/>
  <c r="F167" i="3"/>
  <c r="F169" i="3" s="1"/>
  <c r="F205" i="3"/>
  <c r="C214" i="3"/>
  <c r="B27" i="7"/>
  <c r="C30" i="10"/>
  <c r="C37" i="10" s="1"/>
  <c r="C43" i="10" s="1"/>
  <c r="D39" i="10" s="1"/>
  <c r="B96" i="2"/>
  <c r="G24" i="6"/>
  <c r="E221" i="3"/>
  <c r="F115" i="3"/>
  <c r="B221" i="2"/>
  <c r="F88" i="3"/>
  <c r="C87" i="2"/>
  <c r="C19" i="4" s="1"/>
  <c r="E186" i="2"/>
  <c r="G166" i="2"/>
  <c r="G168" i="2" s="1"/>
  <c r="F168" i="2"/>
  <c r="F24" i="4" s="1"/>
  <c r="G24" i="4" s="1"/>
  <c r="E216" i="3"/>
  <c r="C30" i="5"/>
  <c r="C37" i="5" s="1"/>
  <c r="C43" i="5" s="1"/>
  <c r="D39" i="5" s="1"/>
  <c r="G68" i="2"/>
  <c r="B160" i="3"/>
  <c r="B216" i="3" s="1"/>
  <c r="D34" i="3"/>
  <c r="F24" i="2"/>
  <c r="B159" i="2"/>
  <c r="B23" i="4" s="1"/>
  <c r="F146" i="3"/>
  <c r="F151" i="3" s="1"/>
  <c r="D151" i="3"/>
  <c r="D25" i="3"/>
  <c r="F21" i="3"/>
  <c r="F25" i="3" s="1"/>
  <c r="G45" i="2"/>
  <c r="G51" i="2" s="1"/>
  <c r="F51" i="2"/>
  <c r="F132" i="2"/>
  <c r="D78" i="2"/>
  <c r="G72" i="2"/>
  <c r="F186" i="2"/>
  <c r="G25" i="6"/>
  <c r="D115" i="3"/>
  <c r="F106" i="3"/>
  <c r="E33" i="2"/>
  <c r="G145" i="2"/>
  <c r="G150" i="2" s="1"/>
  <c r="F150" i="2"/>
  <c r="F22" i="4" s="1"/>
  <c r="G22" i="4" s="1"/>
  <c r="F91" i="3"/>
  <c r="F97" i="3" s="1"/>
  <c r="G93" i="2"/>
  <c r="G31" i="2"/>
  <c r="G33" i="2" s="1"/>
  <c r="F33" i="2"/>
  <c r="F17" i="7"/>
  <c r="G17" i="7" s="1"/>
  <c r="F96" i="2"/>
  <c r="E228" i="3"/>
  <c r="B132" i="2"/>
  <c r="B21" i="4" s="1"/>
  <c r="F87" i="2"/>
  <c r="F159" i="2"/>
  <c r="F23" i="4" s="1"/>
  <c r="G23" i="4" s="1"/>
  <c r="C159" i="2"/>
  <c r="C23" i="4" s="1"/>
  <c r="F195" i="2"/>
  <c r="G21" i="10"/>
  <c r="G27" i="10" s="1"/>
  <c r="F27" i="10"/>
  <c r="F30" i="10" s="1"/>
  <c r="F37" i="10" s="1"/>
  <c r="F202" i="6"/>
  <c r="D123" i="2"/>
  <c r="E215" i="9"/>
  <c r="E17" i="7"/>
  <c r="B168" i="2"/>
  <c r="B24" i="4" s="1"/>
  <c r="G54" i="2"/>
  <c r="G60" i="2" s="1"/>
  <c r="F60" i="2"/>
  <c r="F69" i="2"/>
  <c r="G64" i="2"/>
  <c r="C223" i="3"/>
  <c r="F78" i="2"/>
  <c r="G74" i="2"/>
  <c r="E227" i="8"/>
  <c r="G137" i="2"/>
  <c r="G141" i="2" s="1"/>
  <c r="F141" i="2"/>
  <c r="G119" i="2"/>
  <c r="G36" i="2"/>
  <c r="G42" i="2" s="1"/>
  <c r="F42" i="2"/>
  <c r="F75" i="3"/>
  <c r="D79" i="3"/>
  <c r="C133" i="3"/>
  <c r="E168" i="2"/>
  <c r="E24" i="4" s="1"/>
  <c r="D24" i="2"/>
  <c r="F37" i="3"/>
  <c r="C43" i="3"/>
  <c r="G126" i="2"/>
  <c r="G132" i="2" s="1"/>
  <c r="D132" i="2"/>
  <c r="C226" i="3"/>
  <c r="F78" i="3"/>
  <c r="F15" i="3"/>
  <c r="D16" i="3"/>
  <c r="D226" i="3"/>
  <c r="D223" i="3"/>
  <c r="F177" i="2"/>
  <c r="G87" i="2"/>
  <c r="E69" i="2"/>
  <c r="C221" i="3"/>
  <c r="F138" i="3"/>
  <c r="F142" i="3" s="1"/>
  <c r="F123" i="2"/>
  <c r="G120" i="2"/>
  <c r="G66" i="2"/>
  <c r="D222" i="3"/>
  <c r="B78" i="2"/>
  <c r="F215" i="9"/>
  <c r="E51" i="2"/>
  <c r="E18" i="4" s="1"/>
  <c r="F133" i="3"/>
  <c r="G109" i="2"/>
  <c r="G114" i="2" s="1"/>
  <c r="F114" i="2"/>
  <c r="F20" i="4" s="1"/>
  <c r="G20" i="4" s="1"/>
  <c r="G104" i="2"/>
  <c r="G105" i="2" s="1"/>
  <c r="F105" i="2"/>
  <c r="F215" i="8"/>
  <c r="F227" i="9"/>
  <c r="F121" i="3"/>
  <c r="F124" i="3" s="1"/>
  <c r="C124" i="3"/>
  <c r="G14" i="2"/>
  <c r="G15" i="2" s="1"/>
  <c r="F15" i="2"/>
  <c r="G18" i="2"/>
  <c r="G24" i="2" s="1"/>
  <c r="E227" i="9"/>
  <c r="E15" i="2"/>
  <c r="E24" i="2"/>
  <c r="B177" i="2"/>
  <c r="B25" i="4" s="1"/>
  <c r="D215" i="8"/>
  <c r="F19" i="7"/>
  <c r="C225" i="3"/>
  <c r="F49" i="3"/>
  <c r="C52" i="3"/>
  <c r="C224" i="3"/>
  <c r="B228" i="3"/>
  <c r="C106" i="3"/>
  <c r="F79" i="3" l="1"/>
  <c r="E27" i="7"/>
  <c r="E30" i="7" s="1"/>
  <c r="E37" i="7" s="1"/>
  <c r="E43" i="7" s="1"/>
  <c r="F39" i="7" s="1"/>
  <c r="G39" i="7" s="1"/>
  <c r="B227" i="2"/>
  <c r="B30" i="7"/>
  <c r="B37" i="7" s="1"/>
  <c r="B43" i="7" s="1"/>
  <c r="C39" i="7" s="1"/>
  <c r="C43" i="7" s="1"/>
  <c r="D39" i="7" s="1"/>
  <c r="D43" i="7" s="1"/>
  <c r="E39" i="7" s="1"/>
  <c r="G17" i="6"/>
  <c r="E25" i="4"/>
  <c r="C27" i="4"/>
  <c r="C30" i="4" s="1"/>
  <c r="C37" i="4" s="1"/>
  <c r="F225" i="3"/>
  <c r="G78" i="2"/>
  <c r="E19" i="4"/>
  <c r="C215" i="2"/>
  <c r="G18" i="6"/>
  <c r="F25" i="4"/>
  <c r="G25" i="4" s="1"/>
  <c r="F21" i="4"/>
  <c r="G37" i="5"/>
  <c r="G27" i="5"/>
  <c r="F18" i="4"/>
  <c r="G18" i="4" s="1"/>
  <c r="G91" i="2"/>
  <c r="G96" i="2" s="1"/>
  <c r="D96" i="2"/>
  <c r="D215" i="2" s="1"/>
  <c r="C228" i="3"/>
  <c r="D228" i="3"/>
  <c r="F222" i="3"/>
  <c r="C216" i="3"/>
  <c r="F223" i="3"/>
  <c r="D43" i="5"/>
  <c r="E39" i="5" s="1"/>
  <c r="E43" i="5" s="1"/>
  <c r="F39" i="5" s="1"/>
  <c r="G39" i="5" s="1"/>
  <c r="G30" i="5"/>
  <c r="G19" i="7"/>
  <c r="G27" i="7" s="1"/>
  <c r="F27" i="7"/>
  <c r="F30" i="7" s="1"/>
  <c r="G69" i="2"/>
  <c r="G123" i="2"/>
  <c r="D216" i="3"/>
  <c r="F221" i="3"/>
  <c r="F43" i="3"/>
  <c r="F17" i="4"/>
  <c r="F215" i="2"/>
  <c r="B19" i="4"/>
  <c r="B27" i="4" s="1"/>
  <c r="B30" i="4" s="1"/>
  <c r="B37" i="4" s="1"/>
  <c r="B43" i="4" s="1"/>
  <c r="C39" i="4" s="1"/>
  <c r="B215" i="2"/>
  <c r="D37" i="10"/>
  <c r="D43" i="10" s="1"/>
  <c r="G30" i="10"/>
  <c r="F226" i="3"/>
  <c r="F16" i="3"/>
  <c r="D17" i="4"/>
  <c r="F19" i="4"/>
  <c r="F52" i="3"/>
  <c r="F224" i="3"/>
  <c r="F227" i="2"/>
  <c r="E215" i="2"/>
  <c r="E17" i="4"/>
  <c r="D21" i="4"/>
  <c r="G19" i="6"/>
  <c r="E227" i="2"/>
  <c r="E27" i="4" l="1"/>
  <c r="E30" i="4" s="1"/>
  <c r="E37" i="4" s="1"/>
  <c r="C43" i="4"/>
  <c r="D39" i="4" s="1"/>
  <c r="G27" i="6"/>
  <c r="G21" i="4"/>
  <c r="G43" i="5"/>
  <c r="F216" i="3"/>
  <c r="F43" i="5"/>
  <c r="D19" i="4"/>
  <c r="D27" i="4" s="1"/>
  <c r="G17" i="4"/>
  <c r="F27" i="4"/>
  <c r="F30" i="4" s="1"/>
  <c r="G30" i="7"/>
  <c r="F37" i="7"/>
  <c r="E39" i="10"/>
  <c r="E43" i="10" s="1"/>
  <c r="F39" i="10" s="1"/>
  <c r="G37" i="10"/>
  <c r="F228" i="3"/>
  <c r="D30" i="4" l="1"/>
  <c r="D37" i="4" s="1"/>
  <c r="G19" i="4"/>
  <c r="G27" i="4" s="1"/>
  <c r="G39" i="10"/>
  <c r="G43" i="10" s="1"/>
  <c r="F43" i="10"/>
  <c r="G37" i="7"/>
  <c r="G43" i="7" s="1"/>
  <c r="F43" i="7"/>
  <c r="F37" i="4"/>
  <c r="F49" i="6"/>
  <c r="G43" i="6"/>
  <c r="G49" i="6" s="1"/>
  <c r="D43" i="4" l="1"/>
  <c r="E39" i="4" s="1"/>
  <c r="E43" i="4" s="1"/>
  <c r="F39" i="4" s="1"/>
  <c r="G30" i="4"/>
  <c r="G37" i="4"/>
  <c r="G39" i="4" l="1"/>
  <c r="G43" i="4" s="1"/>
  <c r="F43" i="4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tc={16F9B7DE-8F84-42D4-A92E-D2D1992C2839}</author>
  </authors>
  <commentList>
    <comment ref="H28" authorId="0" shapeId="0" xr:uid="{00000000-0006-0000-0A00-000001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analysis of o/s debt july 15, 2020</t>
      </text>
    </comment>
  </commentList>
</comments>
</file>

<file path=xl/sharedStrings.xml><?xml version="1.0" encoding="utf-8"?>
<sst xmlns="http://schemas.openxmlformats.org/spreadsheetml/2006/main" count="2054" uniqueCount="186">
  <si>
    <t>NORTHWEST INDEPENDENT SCHOOL DISTRICT</t>
  </si>
  <si>
    <t>COMBINED STATEMENT OF REVENUES, EXPENDITURES AND CHANGES IN FUND BALANCE</t>
  </si>
  <si>
    <t>Actual</t>
  </si>
  <si>
    <t>Budget</t>
  </si>
  <si>
    <t>Increase</t>
  </si>
  <si>
    <t>Description</t>
  </si>
  <si>
    <t>(Decrease)</t>
  </si>
  <si>
    <t>REVENUES:</t>
  </si>
  <si>
    <t>Local and Intermediate Sources</t>
  </si>
  <si>
    <t>State Program Revenues</t>
  </si>
  <si>
    <t>Federal Program Revenues</t>
  </si>
  <si>
    <t xml:space="preserve">   Total Revenues</t>
  </si>
  <si>
    <t>EXPENDITURES:</t>
  </si>
  <si>
    <t>Current:</t>
  </si>
  <si>
    <t xml:space="preserve">   Instruction and Instructional-Related Services</t>
  </si>
  <si>
    <t xml:space="preserve">   Instructional and School Leadership</t>
  </si>
  <si>
    <t xml:space="preserve">   Support Services - Student (Pupil)</t>
  </si>
  <si>
    <t xml:space="preserve">   Administrative Support Services</t>
  </si>
  <si>
    <t xml:space="preserve">   Support Services - Nonstudent Based</t>
  </si>
  <si>
    <t xml:space="preserve">   Ancillary Services</t>
  </si>
  <si>
    <t>Debt Services</t>
  </si>
  <si>
    <t>Capital Outlay</t>
  </si>
  <si>
    <t>Intergovernmental Charges</t>
  </si>
  <si>
    <t xml:space="preserve">   Total Expenditures</t>
  </si>
  <si>
    <t>Excess (Deficiency) of Revenues Over (Under)</t>
  </si>
  <si>
    <t xml:space="preserve">   Expenditures</t>
  </si>
  <si>
    <t>Other Resources</t>
  </si>
  <si>
    <t>Other (Uses)</t>
  </si>
  <si>
    <t>Excess (Deficiency) of Revenues and Other Resources</t>
  </si>
  <si>
    <t xml:space="preserve">   Over Expenditures and Other Uses</t>
  </si>
  <si>
    <t>Fund Balance - September 1, (Beginning)</t>
  </si>
  <si>
    <t>Increase (Decrease) in Fund Balance</t>
  </si>
  <si>
    <t>GENERAL FUND</t>
  </si>
  <si>
    <t>EXPENDITURES BY FUNCTION AND OBJECT</t>
  </si>
  <si>
    <t xml:space="preserve">   11 Instruction</t>
  </si>
  <si>
    <t xml:space="preserve">         6100 Payroll Costs</t>
  </si>
  <si>
    <t xml:space="preserve">         6200 Professional and Contracted Services</t>
  </si>
  <si>
    <t xml:space="preserve">         6300 Supplies and Materials</t>
  </si>
  <si>
    <t xml:space="preserve">         6400 Other Operating Costs</t>
  </si>
  <si>
    <t xml:space="preserve">         6500 Debt Service</t>
  </si>
  <si>
    <t xml:space="preserve">         6600 Capital Outlay</t>
  </si>
  <si>
    <t xml:space="preserve">   12 Instructional Resources and Media Services</t>
  </si>
  <si>
    <t xml:space="preserve">                  Total</t>
  </si>
  <si>
    <t xml:space="preserve">   13 Curriculum Development and Instructional Staff Development</t>
  </si>
  <si>
    <t xml:space="preserve">   21 Instructional Leadership</t>
  </si>
  <si>
    <t xml:space="preserve">   23 School Leadership</t>
  </si>
  <si>
    <t xml:space="preserve">   31 Guidance, Counseling  and Evaluation Services</t>
  </si>
  <si>
    <t xml:space="preserve">   32 Social Work Services</t>
  </si>
  <si>
    <t xml:space="preserve">   33 Health Services</t>
  </si>
  <si>
    <t xml:space="preserve">   34 Student (Pupil) Transportation</t>
  </si>
  <si>
    <t xml:space="preserve">   35 Food Services</t>
  </si>
  <si>
    <t xml:space="preserve">   36 Cocurricular/Extracurricular Activities</t>
  </si>
  <si>
    <t xml:space="preserve">   41 General Administration</t>
  </si>
  <si>
    <t xml:space="preserve">   51 Plant Maintenance and Operations</t>
  </si>
  <si>
    <t xml:space="preserve">   Support Services - Non-Student Based</t>
  </si>
  <si>
    <t xml:space="preserve">   52 Security and Monitoring Services</t>
  </si>
  <si>
    <t xml:space="preserve">   53 Data Processing Services</t>
  </si>
  <si>
    <t xml:space="preserve">   61 Community Services</t>
  </si>
  <si>
    <t>Debt Service</t>
  </si>
  <si>
    <t xml:space="preserve">   71 Debt Service</t>
  </si>
  <si>
    <t xml:space="preserve">   81 Facilities Acquisition and Construction</t>
  </si>
  <si>
    <t>Summarized by Object Code</t>
  </si>
  <si>
    <t>Fund</t>
  </si>
  <si>
    <t>General</t>
  </si>
  <si>
    <t>Total</t>
  </si>
  <si>
    <t>Adopted</t>
  </si>
  <si>
    <t>DEBT SERVICE FUNDS</t>
  </si>
  <si>
    <t>CAPITAL PROJECTS FUNDS</t>
  </si>
  <si>
    <t>Fund Balance - June 30 (Ending)</t>
  </si>
  <si>
    <t xml:space="preserve">   91 Contracted Instructional Services Between Public Schools</t>
  </si>
  <si>
    <t xml:space="preserve">   97 Payments to Tax Increment Fund</t>
  </si>
  <si>
    <t>SPECIAL REVENUE FUNDS</t>
  </si>
  <si>
    <t>Capital</t>
  </si>
  <si>
    <t>Projects</t>
  </si>
  <si>
    <t>Debt</t>
  </si>
  <si>
    <t>Service</t>
  </si>
  <si>
    <t>Special</t>
  </si>
  <si>
    <t>Revenue</t>
  </si>
  <si>
    <t>Funds</t>
  </si>
  <si>
    <t>COMBINED STATEMENT OF EXPENDITURES BY FUNCTION AND OBJECT CODE</t>
  </si>
  <si>
    <t>BUDGETED EXPENDITURES BY FUND, FUNCTION AND OBJECT</t>
  </si>
  <si>
    <t>TOTAL - ALL FUNDS</t>
  </si>
  <si>
    <t xml:space="preserve">   95 Payment to Juvenile Justice Alternative Education Programs</t>
  </si>
  <si>
    <t xml:space="preserve">   99 Other Intergovernmental Charges</t>
  </si>
  <si>
    <t xml:space="preserve">   93 Payments to Fiscal Agent/Member Districts of Shared Services Arrangements</t>
  </si>
  <si>
    <t>2016-17</t>
  </si>
  <si>
    <t>2017-18</t>
  </si>
  <si>
    <t>2018-19</t>
  </si>
  <si>
    <t>2019-20</t>
  </si>
  <si>
    <t>2020-21</t>
  </si>
  <si>
    <t>BUDGET FOR THE YEAR ENDING JUNE 30, 2021</t>
  </si>
  <si>
    <t>FUND STATEMENT OF REVENUES, EXPENDITURES AND CHANGES IN FUND BALANCE</t>
  </si>
  <si>
    <t>School</t>
  </si>
  <si>
    <t>Breakfast</t>
  </si>
  <si>
    <t>ESEA</t>
  </si>
  <si>
    <t>and</t>
  </si>
  <si>
    <t>Title I</t>
  </si>
  <si>
    <t>IDEA B</t>
  </si>
  <si>
    <t>Lunch</t>
  </si>
  <si>
    <t>Vocational</t>
  </si>
  <si>
    <t>Title II</t>
  </si>
  <si>
    <t>Campus</t>
  </si>
  <si>
    <t>(Part A)</t>
  </si>
  <si>
    <t>(Part D)</t>
  </si>
  <si>
    <t>Formula</t>
  </si>
  <si>
    <t>Preschool</t>
  </si>
  <si>
    <t>Program</t>
  </si>
  <si>
    <t>Basic Grant</t>
  </si>
  <si>
    <t>Part A</t>
  </si>
  <si>
    <t>Activity</t>
  </si>
  <si>
    <t>Fund Balance - July 1, (Beginning)</t>
  </si>
  <si>
    <t>State</t>
  </si>
  <si>
    <t>Locally Funded</t>
  </si>
  <si>
    <t>AGGREGATE DEBT SERVICE</t>
  </si>
  <si>
    <t>Date</t>
  </si>
  <si>
    <t>Principal</t>
  </si>
  <si>
    <t>Interest</t>
  </si>
  <si>
    <t>Par Amounts of Selected Issues</t>
  </si>
  <si>
    <t>Series 2019</t>
  </si>
  <si>
    <t>Unlimited Tax School Building Bonds</t>
  </si>
  <si>
    <t>Series 2018</t>
  </si>
  <si>
    <t>Series 2017</t>
  </si>
  <si>
    <t>Unlimited Tax School Building and Refunding Bonds</t>
  </si>
  <si>
    <t>Series 2016</t>
  </si>
  <si>
    <t>Unlimited Tax Refunding Bonds</t>
  </si>
  <si>
    <t>Series 2015</t>
  </si>
  <si>
    <t>Series 2014</t>
  </si>
  <si>
    <t>Series 2013</t>
  </si>
  <si>
    <t>Series 2012</t>
  </si>
  <si>
    <t>Series 2008</t>
  </si>
  <si>
    <t>ALL OUTSTANDING UNLIMITED TAX DEBT</t>
  </si>
  <si>
    <t>Series</t>
  </si>
  <si>
    <t>2017</t>
  </si>
  <si>
    <t>2016A</t>
  </si>
  <si>
    <t>2016</t>
  </si>
  <si>
    <t>2015B</t>
  </si>
  <si>
    <t>2015A</t>
  </si>
  <si>
    <t>2015</t>
  </si>
  <si>
    <t>2013</t>
  </si>
  <si>
    <t>2013A</t>
  </si>
  <si>
    <t>Unlimited</t>
  </si>
  <si>
    <t>Tax</t>
  </si>
  <si>
    <t>Refunding</t>
  </si>
  <si>
    <t>Building</t>
  </si>
  <si>
    <t>Bonds</t>
  </si>
  <si>
    <t>&amp;</t>
  </si>
  <si>
    <t xml:space="preserve"> </t>
  </si>
  <si>
    <t>Year</t>
  </si>
  <si>
    <t>Ending</t>
  </si>
  <si>
    <t xml:space="preserve">  </t>
  </si>
  <si>
    <t>TOTAL</t>
  </si>
  <si>
    <t>BUDGET FOR THE YEAR ENDED JUNE 30, 2021</t>
  </si>
  <si>
    <t xml:space="preserve">&amp; </t>
  </si>
  <si>
    <t xml:space="preserve">Refunding </t>
  </si>
  <si>
    <t>Series 2020</t>
  </si>
  <si>
    <t>12/31/36</t>
  </si>
  <si>
    <t>12/31/37</t>
  </si>
  <si>
    <t>12/31/38</t>
  </si>
  <si>
    <t>12/31/39</t>
  </si>
  <si>
    <t>12/31/40</t>
  </si>
  <si>
    <t>12/31/41</t>
  </si>
  <si>
    <t>12/31/42</t>
  </si>
  <si>
    <t>12/31/43</t>
  </si>
  <si>
    <t>12/31/44</t>
  </si>
  <si>
    <t>12/31/45</t>
  </si>
  <si>
    <t>12/31/46</t>
  </si>
  <si>
    <t>Actuals balance to CAFR C3; Budget numbers balance to adopted budget</t>
  </si>
  <si>
    <t>Financial Forecast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</si>
  <si>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</si>
  <si>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</si>
  <si>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</si>
  <si>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</si>
  <si>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</si>
  <si>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</si>
  <si>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</si>
  <si>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</si>
  <si>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Adopted Budget</t>
  </si>
  <si>
    <t>2021-22</t>
  </si>
  <si>
    <t>2022-23</t>
  </si>
  <si>
    <t>2023-24</t>
  </si>
  <si>
    <t>Audited Financial Reports</t>
  </si>
  <si>
    <t xml:space="preserve">  71 Debt Service</t>
  </si>
  <si>
    <t>FOR YEARS ENDING JUNE 30, 2017 THROUGH JUNE 30, 2024</t>
  </si>
  <si>
    <t>FOOD SERVICE FUND</t>
  </si>
  <si>
    <t>DEBT SERVICE FUND</t>
  </si>
  <si>
    <t>Excess (Deficiency) of Revenues and Other 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</si>
</sst>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0&quot;_);_(@_)"/>
    <numFmt numFmtId="165" formatCode="_(* #,##0.00_);_(* \(#,##0.00\);_(* &quot;-&quot;_);_(@_)"/>
    <numFmt numFmtId="166" formatCode="_(* #,##0.000_);_(* \(#,##0.000\);_(* &quot;-&quot;_);_(@_)"/>
    <numFmt numFmtId="167" formatCode="mm/dd/yy"/>
    <numFmt numFmtId="168" formatCode="0_);\(0\)"/>
    <numFmt numFmtId="169" formatCode="_(* #,##0_);_(* \(#,##0\);_(* &quot;-&quot;??_);_(@_)"/>
  </numFmts>
  <fonts count="23">
    <font>
      <sz val="10"/>
      <name val="Arial"/>
    </font>
    <font>
      <sz val="10"/>
      <name val="Arial"/>
      <family val="2"/>
    </font>
    <font>
      <sz val="12"/>
      <name val="Arial MT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  <font>
      <u/>
      <sz val="11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i/>
      <sz val="11"/>
      <name val="Times New Roman"/>
      <family val="1"/>
    </font>
    <font>
      <i/>
      <u val="singleAccounting"/>
      <sz val="11"/>
      <name val="Times New Roman"/>
      <family val="1"/>
    </font>
    <font>
      <u val="singleAccounting"/>
      <sz val="10"/>
      <name val="Times New Roman"/>
      <family val="1"/>
    </font>
    <font>
      <sz val="10"/>
      <name val="Arial"/>
      <family val="2"/>
    </font>
    <font>
      <u val="singleAccounting"/>
      <sz val="9.75"/>
      <name val="Times New Roman"/>
      <family val="1"/>
    </font>
    <font>
      <b/>
      <u val="singleAccounting"/>
      <sz val="12"/>
      <name val="Times New Roman"/>
      <family val="1"/>
    </font>
    <font>
      <b/>
      <u/>
      <sz val="11"/>
      <name val="Times New Roman"/>
      <family val="1"/>
    </font>
    <font>
      <b/>
      <i/>
      <sz val="11"/>
      <name val="Times New Roman"/>
      <family val="1"/>
    </font>
    <font>
      <b/>
      <u val="singleAccounting"/>
      <sz val="11"/>
      <name val="Times New Roman"/>
      <family val="1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2" fillId="0" borderId="1" applyNumberFormat="0" applyFont="0" applyFill="0" applyAlignment="0" applyProtection="0">
      <alignment horizontal="centerContinuous"/>
    </xf>
    <xf numFmtId="44" fontId="1" fillId="0" borderId="0" applyFont="0" applyFill="0" applyBorder="0" applyAlignment="0" applyProtection="0"/>
    <xf numFmtId="0" fontId="17" fillId="0" borderId="0"/>
    <xf numFmtId="37" fontId="2" fillId="0" borderId="0"/>
    <xf numFmtId="0" fontId="2" fillId="0" borderId="0"/>
  </cellStyleXfs>
  <cellXfs count="227">
    <xf numFmtId="0" fontId="0" fillId="0" borderId="0" xfId="0"/>
    <xf numFmtId="41" fontId="3" fillId="0" borderId="0" xfId="0" applyNumberFormat="1" applyFont="1"/>
    <xf numFmtId="41" fontId="3" fillId="0" borderId="0" xfId="4" applyNumberFormat="1" applyFont="1" applyProtection="1"/>
    <xf numFmtId="41" fontId="5" fillId="0" borderId="0" xfId="4" applyNumberFormat="1" applyFont="1" applyAlignment="1" applyProtection="1">
      <alignment horizontal="centerContinuous"/>
    </xf>
    <xf numFmtId="41" fontId="5" fillId="0" borderId="0" xfId="0" applyNumberFormat="1" applyFont="1"/>
    <xf numFmtId="41" fontId="5" fillId="0" borderId="0" xfId="4" applyNumberFormat="1" applyFont="1" applyBorder="1" applyAlignment="1" applyProtection="1">
      <alignment horizontal="centerContinuous"/>
    </xf>
    <xf numFmtId="41" fontId="5" fillId="0" borderId="0" xfId="4" applyNumberFormat="1" applyFont="1" applyBorder="1" applyAlignment="1" applyProtection="1"/>
    <xf numFmtId="41" fontId="4" fillId="0" borderId="0" xfId="4" applyNumberFormat="1" applyFont="1" applyProtection="1"/>
    <xf numFmtId="41" fontId="5" fillId="0" borderId="0" xfId="4" applyNumberFormat="1" applyFont="1" applyProtection="1"/>
    <xf numFmtId="41" fontId="5" fillId="0" borderId="0" xfId="4" applyNumberFormat="1" applyFont="1" applyAlignment="1" applyProtection="1"/>
    <xf numFmtId="41" fontId="6" fillId="0" borderId="0" xfId="4" applyNumberFormat="1" applyFont="1" applyAlignment="1" applyProtection="1"/>
    <xf numFmtId="41" fontId="5" fillId="0" borderId="0" xfId="4" applyNumberFormat="1" applyFont="1" applyAlignment="1" applyProtection="1">
      <alignment horizontal="center"/>
    </xf>
    <xf numFmtId="41" fontId="5" fillId="0" borderId="0" xfId="4" applyNumberFormat="1" applyFont="1"/>
    <xf numFmtId="41" fontId="7" fillId="0" borderId="0" xfId="4" applyNumberFormat="1" applyFont="1" applyProtection="1">
      <protection locked="0"/>
    </xf>
    <xf numFmtId="42" fontId="5" fillId="0" borderId="0" xfId="4" applyNumberFormat="1" applyFont="1" applyProtection="1"/>
    <xf numFmtId="41" fontId="6" fillId="0" borderId="0" xfId="4" applyNumberFormat="1" applyFont="1" applyProtection="1"/>
    <xf numFmtId="41" fontId="4" fillId="0" borderId="0" xfId="4" applyNumberFormat="1" applyFont="1" applyBorder="1" applyProtection="1"/>
    <xf numFmtId="41" fontId="5" fillId="0" borderId="0" xfId="4" applyNumberFormat="1" applyFont="1" applyBorder="1" applyProtection="1"/>
    <xf numFmtId="42" fontId="5" fillId="0" borderId="0" xfId="4" applyNumberFormat="1" applyFont="1" applyBorder="1" applyProtection="1"/>
    <xf numFmtId="41" fontId="6" fillId="0" borderId="0" xfId="4" applyNumberFormat="1" applyFont="1" applyBorder="1" applyAlignment="1" applyProtection="1"/>
    <xf numFmtId="41" fontId="6" fillId="0" borderId="0" xfId="4" applyNumberFormat="1" applyFont="1" applyBorder="1" applyProtection="1"/>
    <xf numFmtId="41" fontId="5" fillId="0" borderId="0" xfId="4" applyNumberFormat="1" applyFont="1" applyBorder="1"/>
    <xf numFmtId="42" fontId="6" fillId="0" borderId="0" xfId="4" applyNumberFormat="1" applyFont="1" applyBorder="1" applyProtection="1"/>
    <xf numFmtId="41" fontId="5" fillId="0" borderId="0" xfId="0" applyNumberFormat="1" applyFont="1" applyBorder="1"/>
    <xf numFmtId="41" fontId="5" fillId="0" borderId="0" xfId="4" applyNumberFormat="1" applyFont="1" applyBorder="1" applyAlignment="1" applyProtection="1">
      <alignment horizontal="center"/>
    </xf>
    <xf numFmtId="41" fontId="5" fillId="0" borderId="0" xfId="2" applyNumberFormat="1" applyFont="1" applyBorder="1"/>
    <xf numFmtId="41" fontId="6" fillId="0" borderId="0" xfId="2" applyNumberFormat="1" applyFont="1" applyBorder="1"/>
    <xf numFmtId="42" fontId="6" fillId="0" borderId="0" xfId="4" applyNumberFormat="1" applyFont="1" applyProtection="1"/>
    <xf numFmtId="41" fontId="9" fillId="0" borderId="0" xfId="4" applyNumberFormat="1" applyFont="1" applyAlignment="1" applyProtection="1">
      <alignment horizontal="centerContinuous"/>
    </xf>
    <xf numFmtId="41" fontId="9" fillId="0" borderId="0" xfId="0" applyNumberFormat="1" applyFont="1"/>
    <xf numFmtId="41" fontId="9" fillId="0" borderId="0" xfId="4" applyNumberFormat="1" applyFont="1" applyBorder="1" applyAlignment="1" applyProtection="1">
      <alignment horizontal="centerContinuous"/>
    </xf>
    <xf numFmtId="41" fontId="9" fillId="0" borderId="0" xfId="4" applyNumberFormat="1" applyFont="1" applyBorder="1" applyAlignment="1" applyProtection="1"/>
    <xf numFmtId="41" fontId="8" fillId="0" borderId="0" xfId="4" applyNumberFormat="1" applyFont="1" applyBorder="1" applyAlignment="1" applyProtection="1"/>
    <xf numFmtId="41" fontId="8" fillId="0" borderId="0" xfId="4" applyNumberFormat="1" applyFont="1" applyBorder="1" applyAlignment="1" applyProtection="1">
      <alignment horizontal="center"/>
    </xf>
    <xf numFmtId="41" fontId="10" fillId="0" borderId="0" xfId="4" applyNumberFormat="1" applyFont="1" applyBorder="1" applyAlignment="1" applyProtection="1">
      <alignment horizontal="center"/>
    </xf>
    <xf numFmtId="41" fontId="10" fillId="0" borderId="0" xfId="4" quotePrefix="1" applyNumberFormat="1" applyFont="1" applyBorder="1" applyAlignment="1" applyProtection="1">
      <alignment horizontal="center"/>
    </xf>
    <xf numFmtId="42" fontId="5" fillId="0" borderId="0" xfId="4" applyNumberFormat="1" applyFont="1" applyAlignment="1" applyProtection="1"/>
    <xf numFmtId="42" fontId="11" fillId="0" borderId="0" xfId="4" applyNumberFormat="1" applyFont="1" applyAlignment="1" applyProtection="1"/>
    <xf numFmtId="41" fontId="11" fillId="0" borderId="0" xfId="4" applyNumberFormat="1" applyFont="1" applyAlignment="1" applyProtection="1"/>
    <xf numFmtId="43" fontId="5" fillId="0" borderId="0" xfId="0" applyNumberFormat="1" applyFont="1"/>
    <xf numFmtId="41" fontId="8" fillId="0" borderId="0" xfId="4" applyNumberFormat="1" applyFont="1" applyAlignment="1" applyProtection="1">
      <alignment horizontal="center"/>
    </xf>
    <xf numFmtId="164" fontId="4" fillId="0" borderId="0" xfId="4" applyNumberFormat="1" applyFont="1" applyProtection="1"/>
    <xf numFmtId="41" fontId="14" fillId="0" borderId="0" xfId="4" applyNumberFormat="1" applyFont="1" applyBorder="1" applyProtection="1"/>
    <xf numFmtId="41" fontId="3" fillId="0" borderId="0" xfId="4" applyNumberFormat="1" applyFont="1" applyBorder="1" applyProtection="1"/>
    <xf numFmtId="41" fontId="15" fillId="0" borderId="0" xfId="4" applyNumberFormat="1" applyFont="1" applyBorder="1" applyProtection="1"/>
    <xf numFmtId="41" fontId="14" fillId="0" borderId="0" xfId="4" applyNumberFormat="1" applyFont="1" applyBorder="1" applyAlignment="1" applyProtection="1"/>
    <xf numFmtId="41" fontId="14" fillId="0" borderId="0" xfId="4" applyNumberFormat="1" applyFont="1" applyBorder="1"/>
    <xf numFmtId="41" fontId="5" fillId="0" borderId="0" xfId="0" applyNumberFormat="1" applyFont="1" applyBorder="1" applyAlignment="1">
      <alignment horizontal="center"/>
    </xf>
    <xf numFmtId="41" fontId="5" fillId="0" borderId="0" xfId="0" applyNumberFormat="1" applyFont="1" applyAlignment="1"/>
    <xf numFmtId="41" fontId="5" fillId="0" borderId="0" xfId="4" applyNumberFormat="1" applyFont="1" applyAlignment="1"/>
    <xf numFmtId="41" fontId="3" fillId="0" borderId="0" xfId="0" applyNumberFormat="1" applyFont="1" applyAlignment="1"/>
    <xf numFmtId="41" fontId="5" fillId="0" borderId="0" xfId="0" applyNumberFormat="1" applyFont="1" applyBorder="1" applyAlignment="1"/>
    <xf numFmtId="41" fontId="8" fillId="0" borderId="0" xfId="4" applyNumberFormat="1" applyFont="1" applyAlignment="1" applyProtection="1"/>
    <xf numFmtId="41" fontId="10" fillId="0" borderId="0" xfId="4" applyNumberFormat="1" applyFont="1" applyBorder="1" applyAlignment="1" applyProtection="1"/>
    <xf numFmtId="41" fontId="11" fillId="0" borderId="0" xfId="4" applyNumberFormat="1" applyFont="1" applyBorder="1" applyAlignment="1" applyProtection="1"/>
    <xf numFmtId="41" fontId="16" fillId="0" borderId="0" xfId="4" applyNumberFormat="1" applyFont="1" applyBorder="1" applyAlignment="1" applyProtection="1"/>
    <xf numFmtId="41" fontId="18" fillId="0" borderId="0" xfId="2" applyNumberFormat="1" applyFont="1" applyBorder="1"/>
    <xf numFmtId="41" fontId="6" fillId="0" borderId="0" xfId="0" applyNumberFormat="1" applyFont="1"/>
    <xf numFmtId="41" fontId="8" fillId="0" borderId="0" xfId="4" applyNumberFormat="1" applyFont="1" applyAlignment="1" applyProtection="1">
      <alignment horizontal="center"/>
    </xf>
    <xf numFmtId="41" fontId="8" fillId="0" borderId="0" xfId="4" applyNumberFormat="1" applyFont="1" applyBorder="1" applyAlignment="1" applyProtection="1">
      <alignment horizontal="center"/>
    </xf>
    <xf numFmtId="41" fontId="5" fillId="0" borderId="0" xfId="4" applyNumberFormat="1" applyFont="1" applyFill="1" applyBorder="1" applyProtection="1"/>
    <xf numFmtId="41" fontId="5" fillId="0" borderId="0" xfId="4" applyNumberFormat="1" applyFont="1" applyFill="1" applyBorder="1" applyAlignment="1" applyProtection="1"/>
    <xf numFmtId="41" fontId="6" fillId="0" borderId="0" xfId="4" applyNumberFormat="1" applyFont="1" applyFill="1" applyBorder="1" applyAlignment="1" applyProtection="1"/>
    <xf numFmtId="41" fontId="5" fillId="0" borderId="0" xfId="4" applyNumberFormat="1" applyFont="1" applyFill="1" applyProtection="1"/>
    <xf numFmtId="41" fontId="6" fillId="0" borderId="0" xfId="4" applyNumberFormat="1" applyFont="1" applyFill="1" applyProtection="1"/>
    <xf numFmtId="41" fontId="8" fillId="0" borderId="0" xfId="4" applyNumberFormat="1" applyFont="1" applyBorder="1" applyAlignment="1" applyProtection="1">
      <alignment horizontal="center"/>
    </xf>
    <xf numFmtId="0" fontId="8" fillId="0" borderId="0" xfId="5" applyFont="1" applyAlignment="1" applyProtection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4" applyNumberFormat="1" applyFont="1" applyBorder="1" applyAlignment="1" applyProtection="1">
      <alignment horizontal="center"/>
    </xf>
    <xf numFmtId="41" fontId="8" fillId="0" borderId="0" xfId="0" applyNumberFormat="1" applyFont="1" applyBorder="1" applyAlignment="1">
      <alignment horizontal="center"/>
    </xf>
    <xf numFmtId="41" fontId="8" fillId="0" borderId="0" xfId="4" quotePrefix="1" applyNumberFormat="1" applyFont="1" applyBorder="1" applyAlignment="1" applyProtection="1">
      <alignment horizontal="center"/>
    </xf>
    <xf numFmtId="41" fontId="8" fillId="0" borderId="0" xfId="0" applyNumberFormat="1" applyFont="1"/>
    <xf numFmtId="41" fontId="19" fillId="0" borderId="0" xfId="0" quotePrefix="1" applyNumberFormat="1" applyFont="1" applyAlignment="1">
      <alignment horizontal="center"/>
    </xf>
    <xf numFmtId="41" fontId="19" fillId="0" borderId="0" xfId="0" applyNumberFormat="1" applyFont="1" applyAlignment="1">
      <alignment horizontal="center"/>
    </xf>
    <xf numFmtId="42" fontId="14" fillId="0" borderId="0" xfId="4" applyNumberFormat="1" applyFont="1" applyBorder="1" applyProtection="1"/>
    <xf numFmtId="41" fontId="15" fillId="0" borderId="0" xfId="4" applyNumberFormat="1" applyFont="1" applyBorder="1" applyAlignment="1" applyProtection="1"/>
    <xf numFmtId="41" fontId="14" fillId="0" borderId="0" xfId="4" applyNumberFormat="1" applyFont="1" applyAlignment="1" applyProtection="1"/>
    <xf numFmtId="41" fontId="15" fillId="0" borderId="0" xfId="4" applyNumberFormat="1" applyFont="1" applyAlignment="1" applyProtection="1"/>
    <xf numFmtId="42" fontId="15" fillId="0" borderId="0" xfId="4" applyNumberFormat="1" applyFont="1" applyBorder="1" applyProtection="1"/>
    <xf numFmtId="166" fontId="5" fillId="0" borderId="0" xfId="4" applyNumberFormat="1" applyFont="1" applyBorder="1" applyProtection="1"/>
    <xf numFmtId="165" fontId="5" fillId="0" borderId="0" xfId="0" applyNumberFormat="1" applyFont="1"/>
    <xf numFmtId="41" fontId="8" fillId="0" borderId="0" xfId="0" applyNumberFormat="1" applyFont="1" applyAlignment="1">
      <alignment horizontal="center"/>
    </xf>
    <xf numFmtId="41" fontId="8" fillId="0" borderId="0" xfId="4" applyNumberFormat="1" applyFont="1" applyFill="1" applyBorder="1" applyAlignment="1" applyProtection="1">
      <alignment horizontal="center"/>
    </xf>
    <xf numFmtId="41" fontId="8" fillId="0" borderId="0" xfId="0" applyNumberFormat="1" applyFont="1" applyFill="1" applyAlignment="1">
      <alignment horizontal="center"/>
    </xf>
    <xf numFmtId="41" fontId="19" fillId="0" borderId="0" xfId="0" quotePrefix="1" applyNumberFormat="1" applyFont="1" applyFill="1" applyAlignment="1">
      <alignment horizontal="center"/>
    </xf>
    <xf numFmtId="42" fontId="5" fillId="0" borderId="0" xfId="4" applyNumberFormat="1" applyFont="1" applyFill="1" applyBorder="1" applyProtection="1"/>
    <xf numFmtId="41" fontId="6" fillId="0" borderId="0" xfId="4" applyNumberFormat="1" applyFont="1" applyFill="1" applyBorder="1" applyProtection="1"/>
    <xf numFmtId="41" fontId="14" fillId="0" borderId="0" xfId="4" applyNumberFormat="1" applyFont="1" applyFill="1" applyBorder="1" applyProtection="1"/>
    <xf numFmtId="41" fontId="5" fillId="0" borderId="0" xfId="4" applyNumberFormat="1" applyFont="1" applyFill="1" applyAlignment="1" applyProtection="1"/>
    <xf numFmtId="41" fontId="6" fillId="0" borderId="0" xfId="4" applyNumberFormat="1" applyFont="1" applyFill="1" applyAlignment="1" applyProtection="1"/>
    <xf numFmtId="41" fontId="5" fillId="0" borderId="0" xfId="4" applyNumberFormat="1" applyFont="1" applyFill="1" applyBorder="1"/>
    <xf numFmtId="42" fontId="6" fillId="0" borderId="0" xfId="4" applyNumberFormat="1" applyFont="1" applyFill="1" applyBorder="1" applyProtection="1"/>
    <xf numFmtId="41" fontId="5" fillId="0" borderId="0" xfId="4" applyNumberFormat="1" applyFont="1" applyFill="1" applyBorder="1" applyAlignment="1" applyProtection="1">
      <alignment horizontal="centerContinuous"/>
    </xf>
    <xf numFmtId="41" fontId="5" fillId="0" borderId="0" xfId="4" applyNumberFormat="1" applyFont="1" applyFill="1" applyBorder="1" applyAlignment="1" applyProtection="1">
      <alignment horizontal="center"/>
    </xf>
    <xf numFmtId="41" fontId="5" fillId="0" borderId="0" xfId="4" applyNumberFormat="1" applyFont="1" applyFill="1" applyAlignment="1" applyProtection="1">
      <alignment horizontal="centerContinuous"/>
    </xf>
    <xf numFmtId="41" fontId="5" fillId="0" borderId="0" xfId="4" applyNumberFormat="1" applyFont="1" applyFill="1" applyAlignment="1" applyProtection="1">
      <alignment horizontal="center"/>
    </xf>
    <xf numFmtId="41" fontId="5" fillId="0" borderId="0" xfId="4" applyNumberFormat="1" applyFont="1" applyFill="1"/>
    <xf numFmtId="41" fontId="5" fillId="0" borderId="0" xfId="0" applyNumberFormat="1" applyFont="1" applyFill="1"/>
    <xf numFmtId="41" fontId="8" fillId="0" borderId="0" xfId="3" applyNumberFormat="1" applyFont="1"/>
    <xf numFmtId="41" fontId="9" fillId="0" borderId="0" xfId="4" applyNumberFormat="1" applyFont="1" applyAlignment="1">
      <alignment horizontal="centerContinuous"/>
    </xf>
    <xf numFmtId="41" fontId="9" fillId="0" borderId="0" xfId="3" applyNumberFormat="1" applyFont="1"/>
    <xf numFmtId="41" fontId="10" fillId="0" borderId="0" xfId="4" applyNumberFormat="1" applyFont="1" applyAlignment="1">
      <alignment horizontal="center"/>
    </xf>
    <xf numFmtId="41" fontId="10" fillId="0" borderId="0" xfId="3" applyNumberFormat="1" applyFont="1" applyAlignment="1">
      <alignment horizontal="center"/>
    </xf>
    <xf numFmtId="167" fontId="5" fillId="0" borderId="0" xfId="4" quotePrefix="1" applyNumberFormat="1" applyFont="1" applyAlignment="1">
      <alignment horizontal="center"/>
    </xf>
    <xf numFmtId="42" fontId="5" fillId="0" borderId="0" xfId="4" applyNumberFormat="1" applyFont="1"/>
    <xf numFmtId="41" fontId="14" fillId="0" borderId="0" xfId="3" applyNumberFormat="1" applyFont="1"/>
    <xf numFmtId="41" fontId="6" fillId="0" borderId="0" xfId="4" applyNumberFormat="1" applyFont="1"/>
    <xf numFmtId="42" fontId="4" fillId="0" borderId="0" xfId="3" applyNumberFormat="1" applyFont="1" applyAlignment="1">
      <alignment horizontal="right"/>
    </xf>
    <xf numFmtId="42" fontId="4" fillId="0" borderId="0" xfId="4" applyNumberFormat="1" applyFont="1"/>
    <xf numFmtId="42" fontId="20" fillId="0" borderId="0" xfId="4" applyNumberFormat="1" applyFont="1"/>
    <xf numFmtId="42" fontId="21" fillId="0" borderId="0" xfId="3" applyNumberFormat="1" applyFont="1"/>
    <xf numFmtId="41" fontId="3" fillId="0" borderId="0" xfId="3" applyNumberFormat="1" applyFont="1"/>
    <xf numFmtId="41" fontId="5" fillId="0" borderId="0" xfId="3" applyNumberFormat="1" applyFont="1"/>
    <xf numFmtId="44" fontId="5" fillId="0" borderId="0" xfId="3" applyNumberFormat="1" applyFont="1" applyAlignment="1">
      <alignment horizontal="left"/>
    </xf>
    <xf numFmtId="0" fontId="8" fillId="0" borderId="0" xfId="3" applyFont="1" applyAlignment="1">
      <alignment horizontal="center"/>
    </xf>
    <xf numFmtId="42" fontId="9" fillId="0" borderId="0" xfId="3" applyNumberFormat="1" applyFont="1" applyAlignment="1">
      <alignment horizontal="right"/>
    </xf>
    <xf numFmtId="0" fontId="5" fillId="0" borderId="0" xfId="3" applyFont="1"/>
    <xf numFmtId="41" fontId="9" fillId="0" borderId="0" xfId="3" applyNumberFormat="1" applyFont="1" applyAlignment="1">
      <alignment horizontal="center"/>
    </xf>
    <xf numFmtId="43" fontId="5" fillId="0" borderId="0" xfId="3" applyNumberFormat="1" applyFont="1"/>
    <xf numFmtId="41" fontId="6" fillId="0" borderId="0" xfId="3" applyNumberFormat="1" applyFont="1"/>
    <xf numFmtId="42" fontId="22" fillId="0" borderId="0" xfId="3" applyNumberFormat="1" applyFont="1"/>
    <xf numFmtId="41" fontId="8" fillId="0" borderId="0" xfId="4" applyNumberFormat="1" applyFont="1" applyAlignment="1">
      <alignment horizontal="center"/>
    </xf>
    <xf numFmtId="41" fontId="8" fillId="0" borderId="5" xfId="4" applyNumberFormat="1" applyFont="1" applyBorder="1" applyAlignment="1">
      <alignment horizontal="center"/>
    </xf>
    <xf numFmtId="41" fontId="8" fillId="0" borderId="6" xfId="4" applyNumberFormat="1" applyFont="1" applyBorder="1" applyAlignment="1">
      <alignment horizontal="center"/>
    </xf>
    <xf numFmtId="41" fontId="8" fillId="0" borderId="7" xfId="4" applyNumberFormat="1" applyFont="1" applyBorder="1" applyAlignment="1">
      <alignment horizontal="center"/>
    </xf>
    <xf numFmtId="41" fontId="8" fillId="0" borderId="8" xfId="4" applyNumberFormat="1" applyFont="1" applyBorder="1" applyAlignment="1">
      <alignment horizontal="center"/>
    </xf>
    <xf numFmtId="41" fontId="8" fillId="0" borderId="9" xfId="4" applyNumberFormat="1" applyFont="1" applyBorder="1" applyAlignment="1">
      <alignment horizontal="center"/>
    </xf>
    <xf numFmtId="41" fontId="8" fillId="0" borderId="10" xfId="4" applyNumberFormat="1" applyFont="1" applyBorder="1" applyAlignment="1">
      <alignment horizontal="center"/>
    </xf>
    <xf numFmtId="41" fontId="8" fillId="0" borderId="11" xfId="4" applyNumberFormat="1" applyFont="1" applyBorder="1" applyAlignment="1">
      <alignment horizontal="center"/>
    </xf>
    <xf numFmtId="41" fontId="8" fillId="0" borderId="12" xfId="4" applyNumberFormat="1" applyFont="1" applyBorder="1" applyAlignment="1">
      <alignment horizontal="center"/>
    </xf>
    <xf numFmtId="41" fontId="8" fillId="0" borderId="13" xfId="4" applyNumberFormat="1" applyFont="1" applyBorder="1" applyAlignment="1">
      <alignment horizontal="center"/>
    </xf>
    <xf numFmtId="41" fontId="8" fillId="0" borderId="14" xfId="4" applyNumberFormat="1" applyFont="1" applyBorder="1" applyAlignment="1">
      <alignment horizontal="center"/>
    </xf>
    <xf numFmtId="41" fontId="8" fillId="0" borderId="15" xfId="4" quotePrefix="1" applyNumberFormat="1" applyFont="1" applyBorder="1" applyAlignment="1">
      <alignment horizontal="center"/>
    </xf>
    <xf numFmtId="41" fontId="8" fillId="0" borderId="14" xfId="4" quotePrefix="1" applyNumberFormat="1" applyFont="1" applyBorder="1" applyAlignment="1">
      <alignment horizontal="center"/>
    </xf>
    <xf numFmtId="41" fontId="8" fillId="0" borderId="16" xfId="4" quotePrefix="1" applyNumberFormat="1" applyFont="1" applyBorder="1" applyAlignment="1">
      <alignment horizontal="center"/>
    </xf>
    <xf numFmtId="41" fontId="8" fillId="0" borderId="15" xfId="3" applyNumberFormat="1" applyFont="1" applyBorder="1" applyAlignment="1">
      <alignment horizontal="center"/>
    </xf>
    <xf numFmtId="41" fontId="8" fillId="0" borderId="14" xfId="3" applyNumberFormat="1" applyFont="1" applyBorder="1" applyAlignment="1">
      <alignment horizontal="center"/>
    </xf>
    <xf numFmtId="41" fontId="8" fillId="0" borderId="16" xfId="3" applyNumberFormat="1" applyFont="1" applyBorder="1" applyAlignment="1">
      <alignment horizontal="center"/>
    </xf>
    <xf numFmtId="41" fontId="8" fillId="0" borderId="17" xfId="3" applyNumberFormat="1" applyFont="1" applyBorder="1" applyAlignment="1">
      <alignment horizontal="center"/>
    </xf>
    <xf numFmtId="41" fontId="9" fillId="0" borderId="14" xfId="3" applyNumberFormat="1" applyFont="1" applyBorder="1"/>
    <xf numFmtId="41" fontId="9" fillId="0" borderId="15" xfId="3" applyNumberFormat="1" applyFont="1" applyBorder="1"/>
    <xf numFmtId="41" fontId="9" fillId="0" borderId="16" xfId="3" applyNumberFormat="1" applyFont="1" applyBorder="1"/>
    <xf numFmtId="41" fontId="8" fillId="0" borderId="0" xfId="3" applyNumberFormat="1" applyFont="1" applyAlignment="1">
      <alignment horizontal="center"/>
    </xf>
    <xf numFmtId="41" fontId="19" fillId="0" borderId="14" xfId="4" applyNumberFormat="1" applyFont="1" applyBorder="1" applyAlignment="1">
      <alignment horizontal="center"/>
    </xf>
    <xf numFmtId="41" fontId="19" fillId="0" borderId="15" xfId="4" applyNumberFormat="1" applyFont="1" applyBorder="1" applyAlignment="1">
      <alignment horizontal="center"/>
    </xf>
    <xf numFmtId="41" fontId="19" fillId="0" borderId="16" xfId="4" applyNumberFormat="1" applyFont="1" applyBorder="1" applyAlignment="1">
      <alignment horizontal="center"/>
    </xf>
    <xf numFmtId="167" fontId="5" fillId="0" borderId="14" xfId="4" quotePrefix="1" applyNumberFormat="1" applyFont="1" applyBorder="1" applyAlignment="1">
      <alignment horizontal="center"/>
    </xf>
    <xf numFmtId="167" fontId="5" fillId="0" borderId="16" xfId="4" quotePrefix="1" applyNumberFormat="1" applyFont="1" applyBorder="1" applyAlignment="1">
      <alignment horizontal="center"/>
    </xf>
    <xf numFmtId="41" fontId="5" fillId="0" borderId="16" xfId="4" applyNumberFormat="1" applyFont="1" applyBorder="1"/>
    <xf numFmtId="41" fontId="5" fillId="0" borderId="5" xfId="4" applyNumberFormat="1" applyFont="1" applyBorder="1"/>
    <xf numFmtId="41" fontId="6" fillId="0" borderId="16" xfId="4" applyNumberFormat="1" applyFont="1" applyBorder="1"/>
    <xf numFmtId="41" fontId="6" fillId="0" borderId="5" xfId="4" applyNumberFormat="1" applyFont="1" applyBorder="1"/>
    <xf numFmtId="0" fontId="20" fillId="0" borderId="18" xfId="4" applyNumberFormat="1" applyFont="1" applyBorder="1" applyAlignment="1">
      <alignment horizontal="center"/>
    </xf>
    <xf numFmtId="0" fontId="20" fillId="0" borderId="19" xfId="4" applyNumberFormat="1" applyFont="1" applyBorder="1" applyAlignment="1">
      <alignment horizontal="center"/>
    </xf>
    <xf numFmtId="41" fontId="22" fillId="0" borderId="19" xfId="4" applyNumberFormat="1" applyFont="1" applyBorder="1"/>
    <xf numFmtId="41" fontId="22" fillId="0" borderId="7" xfId="4" applyNumberFormat="1" applyFont="1" applyBorder="1"/>
    <xf numFmtId="0" fontId="3" fillId="0" borderId="0" xfId="3" applyFont="1"/>
    <xf numFmtId="41" fontId="19" fillId="0" borderId="17" xfId="4" applyNumberFormat="1" applyFont="1" applyBorder="1" applyAlignment="1">
      <alignment horizontal="center"/>
    </xf>
    <xf numFmtId="41" fontId="19" fillId="0" borderId="0" xfId="0" quotePrefix="1" applyNumberFormat="1" applyFont="1" applyAlignment="1"/>
    <xf numFmtId="41" fontId="8" fillId="0" borderId="5" xfId="4" applyNumberFormat="1" applyFont="1" applyBorder="1" applyAlignment="1">
      <alignment horizontal="center"/>
    </xf>
    <xf numFmtId="41" fontId="8" fillId="0" borderId="20" xfId="4" applyNumberFormat="1" applyFont="1" applyBorder="1" applyAlignment="1">
      <alignment horizontal="center"/>
    </xf>
    <xf numFmtId="0" fontId="8" fillId="0" borderId="21" xfId="4" quotePrefix="1" applyNumberFormat="1" applyFont="1" applyBorder="1" applyAlignment="1">
      <alignment horizontal="center"/>
    </xf>
    <xf numFmtId="41" fontId="8" fillId="0" borderId="21" xfId="3" applyNumberFormat="1" applyFont="1" applyBorder="1" applyAlignment="1">
      <alignment horizontal="center"/>
    </xf>
    <xf numFmtId="41" fontId="19" fillId="0" borderId="21" xfId="4" applyNumberFormat="1" applyFont="1" applyBorder="1" applyAlignment="1">
      <alignment horizontal="center"/>
    </xf>
    <xf numFmtId="43" fontId="5" fillId="0" borderId="21" xfId="4" applyNumberFormat="1" applyFont="1" applyBorder="1"/>
    <xf numFmtId="37" fontId="5" fillId="0" borderId="21" xfId="4" applyFont="1" applyBorder="1"/>
    <xf numFmtId="41" fontId="5" fillId="0" borderId="21" xfId="4" applyNumberFormat="1" applyFont="1" applyBorder="1"/>
    <xf numFmtId="41" fontId="6" fillId="0" borderId="21" xfId="4" applyNumberFormat="1" applyFont="1" applyBorder="1"/>
    <xf numFmtId="41" fontId="22" fillId="0" borderId="22" xfId="4" applyNumberFormat="1" applyFont="1" applyBorder="1"/>
    <xf numFmtId="41" fontId="8" fillId="0" borderId="16" xfId="4" applyNumberFormat="1" applyFont="1" applyBorder="1" applyAlignment="1">
      <alignment horizontal="center"/>
    </xf>
    <xf numFmtId="41" fontId="6" fillId="0" borderId="0" xfId="4" applyNumberFormat="1" applyFont="1" applyBorder="1"/>
    <xf numFmtId="41" fontId="22" fillId="0" borderId="8" xfId="4" applyNumberFormat="1" applyFont="1" applyBorder="1"/>
    <xf numFmtId="168" fontId="8" fillId="0" borderId="21" xfId="4" quotePrefix="1" applyNumberFormat="1" applyFont="1" applyBorder="1" applyAlignment="1">
      <alignment horizontal="center"/>
    </xf>
    <xf numFmtId="41" fontId="9" fillId="0" borderId="21" xfId="3" applyNumberFormat="1" applyFont="1" applyBorder="1"/>
    <xf numFmtId="41" fontId="8" fillId="0" borderId="17" xfId="4" quotePrefix="1" applyNumberFormat="1" applyFont="1" applyBorder="1" applyAlignment="1">
      <alignment horizontal="center"/>
    </xf>
    <xf numFmtId="41" fontId="9" fillId="0" borderId="17" xfId="3" applyNumberFormat="1" applyFont="1" applyBorder="1"/>
    <xf numFmtId="41" fontId="19" fillId="0" borderId="21" xfId="3" applyNumberFormat="1" applyFont="1" applyBorder="1" applyAlignment="1">
      <alignment horizontal="center"/>
    </xf>
    <xf numFmtId="169" fontId="5" fillId="0" borderId="21" xfId="4" applyNumberFormat="1" applyFont="1" applyBorder="1"/>
    <xf numFmtId="41" fontId="8" fillId="0" borderId="20" xfId="3" applyNumberFormat="1" applyFont="1" applyBorder="1" applyAlignment="1">
      <alignment horizontal="center"/>
    </xf>
    <xf numFmtId="41" fontId="8" fillId="0" borderId="21" xfId="3" quotePrefix="1" applyNumberFormat="1" applyFont="1" applyBorder="1" applyAlignment="1">
      <alignment horizontal="center"/>
    </xf>
    <xf numFmtId="41" fontId="8" fillId="0" borderId="0" xfId="4" applyNumberFormat="1" applyFont="1" applyAlignment="1" applyProtection="1">
      <alignment horizontal="center"/>
    </xf>
    <xf numFmtId="41" fontId="8" fillId="0" borderId="0" xfId="4" applyNumberFormat="1" applyFont="1" applyBorder="1" applyAlignment="1" applyProtection="1">
      <alignment horizontal="center"/>
    </xf>
    <xf numFmtId="164" fontId="9" fillId="0" borderId="0" xfId="4" applyNumberFormat="1" applyFont="1" applyAlignment="1">
      <alignment horizontal="centerContinuous"/>
    </xf>
    <xf numFmtId="164" fontId="10" fillId="0" borderId="0" xfId="4" applyNumberFormat="1" applyFont="1" applyAlignment="1">
      <alignment horizontal="center"/>
    </xf>
    <xf numFmtId="164" fontId="19" fillId="0" borderId="0" xfId="4" quotePrefix="1" applyNumberFormat="1" applyFont="1" applyAlignment="1">
      <alignment horizontal="center"/>
    </xf>
    <xf numFmtId="41" fontId="19" fillId="0" borderId="0" xfId="0" applyNumberFormat="1" applyFont="1"/>
    <xf numFmtId="41" fontId="4" fillId="0" borderId="0" xfId="4" applyNumberFormat="1" applyFont="1"/>
    <xf numFmtId="164" fontId="8" fillId="0" borderId="0" xfId="0" applyNumberFormat="1" applyFont="1"/>
    <xf numFmtId="164" fontId="9" fillId="0" borderId="0" xfId="0" applyNumberFormat="1" applyFont="1"/>
    <xf numFmtId="41" fontId="11" fillId="0" borderId="0" xfId="4" applyNumberFormat="1" applyFont="1"/>
    <xf numFmtId="164" fontId="4" fillId="0" borderId="0" xfId="4" applyNumberFormat="1" applyFont="1"/>
    <xf numFmtId="42" fontId="11" fillId="0" borderId="0" xfId="4" applyNumberFormat="1" applyFont="1"/>
    <xf numFmtId="41" fontId="5" fillId="0" borderId="0" xfId="0" applyNumberFormat="1" applyFont="1" applyAlignment="1">
      <alignment horizontal="center"/>
    </xf>
    <xf numFmtId="41" fontId="22" fillId="0" borderId="0" xfId="0" applyNumberFormat="1" applyFont="1" applyAlignment="1">
      <alignment horizontal="center"/>
    </xf>
    <xf numFmtId="42" fontId="5" fillId="0" borderId="0" xfId="4" applyNumberFormat="1" applyFont="1" applyAlignment="1">
      <alignment horizontal="left"/>
    </xf>
    <xf numFmtId="41" fontId="5" fillId="0" borderId="0" xfId="4" applyNumberFormat="1" applyFont="1" applyAlignment="1">
      <alignment horizontal="centerContinuous"/>
    </xf>
    <xf numFmtId="41" fontId="5" fillId="0" borderId="0" xfId="4" applyNumberFormat="1" applyFont="1" applyAlignment="1">
      <alignment horizontal="left"/>
    </xf>
    <xf numFmtId="9" fontId="5" fillId="0" borderId="0" xfId="0" applyNumberFormat="1" applyFont="1"/>
    <xf numFmtId="41" fontId="6" fillId="0" borderId="0" xfId="4" applyNumberFormat="1" applyFont="1" applyAlignment="1">
      <alignment horizontal="left"/>
    </xf>
    <xf numFmtId="42" fontId="6" fillId="0" borderId="0" xfId="0" applyNumberFormat="1" applyFont="1"/>
    <xf numFmtId="42" fontId="5" fillId="0" borderId="0" xfId="0" applyNumberFormat="1" applyFont="1"/>
    <xf numFmtId="41" fontId="5" fillId="0" borderId="0" xfId="4" applyNumberFormat="1" applyFont="1" applyAlignment="1">
      <alignment horizontal="center"/>
    </xf>
    <xf numFmtId="41" fontId="8" fillId="0" borderId="0" xfId="4" applyNumberFormat="1" applyFont="1" applyAlignment="1" applyProtection="1">
      <alignment horizontal="center"/>
    </xf>
    <xf numFmtId="41" fontId="8" fillId="0" borderId="0" xfId="4" applyNumberFormat="1" applyFont="1" applyBorder="1" applyAlignment="1" applyProtection="1">
      <alignment horizontal="center"/>
    </xf>
    <xf numFmtId="41" fontId="6" fillId="0" borderId="0" xfId="0" applyNumberFormat="1" applyFont="1" applyBorder="1"/>
    <xf numFmtId="41" fontId="8" fillId="0" borderId="0" xfId="0" applyNumberFormat="1" applyFont="1" applyAlignment="1"/>
    <xf numFmtId="0" fontId="8" fillId="0" borderId="0" xfId="5" applyFont="1" applyAlignment="1" applyProtection="1">
      <alignment horizontal="center"/>
    </xf>
    <xf numFmtId="41" fontId="8" fillId="0" borderId="0" xfId="4" applyNumberFormat="1" applyFont="1" applyAlignment="1" applyProtection="1">
      <alignment horizontal="center"/>
    </xf>
    <xf numFmtId="41" fontId="8" fillId="0" borderId="0" xfId="0" applyNumberFormat="1" applyFont="1" applyAlignment="1">
      <alignment horizontal="center"/>
    </xf>
    <xf numFmtId="41" fontId="8" fillId="0" borderId="0" xfId="4" applyNumberFormat="1" applyFont="1" applyAlignment="1">
      <alignment horizontal="center"/>
    </xf>
    <xf numFmtId="164" fontId="8" fillId="0" borderId="0" xfId="0" applyNumberFormat="1" applyFont="1" applyAlignment="1">
      <alignment horizontal="center"/>
    </xf>
    <xf numFmtId="164" fontId="8" fillId="0" borderId="0" xfId="4" applyNumberFormat="1" applyFont="1" applyAlignment="1">
      <alignment horizontal="center"/>
    </xf>
    <xf numFmtId="41" fontId="8" fillId="0" borderId="0" xfId="0" applyNumberFormat="1" applyFont="1" applyBorder="1" applyAlignment="1">
      <alignment horizontal="center"/>
    </xf>
    <xf numFmtId="41" fontId="8" fillId="0" borderId="0" xfId="4" applyNumberFormat="1" applyFont="1" applyBorder="1" applyAlignment="1" applyProtection="1">
      <alignment horizontal="center"/>
    </xf>
    <xf numFmtId="41" fontId="8" fillId="0" borderId="2" xfId="3" applyNumberFormat="1" applyFont="1" applyBorder="1" applyAlignment="1">
      <alignment horizontal="center"/>
    </xf>
    <xf numFmtId="41" fontId="8" fillId="0" borderId="3" xfId="3" applyNumberFormat="1" applyFont="1" applyBorder="1" applyAlignment="1">
      <alignment horizontal="center"/>
    </xf>
    <xf numFmtId="41" fontId="8" fillId="0" borderId="4" xfId="3" applyNumberFormat="1" applyFont="1" applyBorder="1" applyAlignment="1">
      <alignment horizontal="center"/>
    </xf>
    <xf numFmtId="41" fontId="8" fillId="0" borderId="2" xfId="4" applyNumberFormat="1" applyFont="1" applyBorder="1" applyAlignment="1">
      <alignment horizontal="center"/>
    </xf>
    <xf numFmtId="41" fontId="8" fillId="0" borderId="3" xfId="4" applyNumberFormat="1" applyFont="1" applyBorder="1" applyAlignment="1">
      <alignment horizontal="center"/>
    </xf>
    <xf numFmtId="41" fontId="8" fillId="0" borderId="4" xfId="4" applyNumberFormat="1" applyFont="1" applyBorder="1" applyAlignment="1">
      <alignment horizontal="center"/>
    </xf>
    <xf numFmtId="41" fontId="8" fillId="0" borderId="5" xfId="3" applyNumberFormat="1" applyFont="1" applyBorder="1" applyAlignment="1">
      <alignment horizontal="center"/>
    </xf>
    <xf numFmtId="41" fontId="8" fillId="0" borderId="0" xfId="3" applyNumberFormat="1" applyFont="1" applyAlignment="1">
      <alignment horizontal="center"/>
    </xf>
    <xf numFmtId="41" fontId="8" fillId="0" borderId="6" xfId="3" applyNumberFormat="1" applyFont="1" applyBorder="1" applyAlignment="1">
      <alignment horizontal="center"/>
    </xf>
    <xf numFmtId="41" fontId="8" fillId="0" borderId="5" xfId="4" applyNumberFormat="1" applyFont="1" applyBorder="1" applyAlignment="1">
      <alignment horizontal="center"/>
    </xf>
    <xf numFmtId="41" fontId="8" fillId="0" borderId="6" xfId="4" applyNumberFormat="1" applyFont="1" applyBorder="1" applyAlignment="1">
      <alignment horizontal="center"/>
    </xf>
    <xf numFmtId="0" fontId="8" fillId="0" borderId="0" xfId="3" applyFont="1" applyAlignment="1">
      <alignment horizontal="center"/>
    </xf>
    <xf numFmtId="0" fontId="5" fillId="0" borderId="0" xfId="3" applyFont="1" applyAlignment="1">
      <alignment horizontal="left"/>
    </xf>
  </cellXfs>
  <cellStyles count="6">
    <cellStyle name="borders" xfId="1" xr:uid="{00000000-0005-0000-0000-000000000000}"/>
    <cellStyle name="Currency" xfId="2" builtinId="4"/>
    <cellStyle name="Normal" xfId="0" builtinId="0"/>
    <cellStyle name="Normal 2" xfId="3" xr:uid="{00000000-0005-0000-0000-000003000000}"/>
    <cellStyle name="Normal_500-599" xfId="4" xr:uid="{00000000-0005-0000-0000-000004000000}"/>
    <cellStyle name="Normal_B97FCT05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JROBERT\CLIENTS\CRRLISD\VAR-RAT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SD001FS1\VOL1\My%20Briefcase\01-02\Forecast\01-08-13%20(2.9b%20Net%20Taxable%20Value)%20(Enrollment%20Forecast%20@%206-06-00)%20($300-305K)(Comptroler's%20Values)($1.50000)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U:\JROBERT\Prospect\Pecos%20ISD\Initi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A\DROSEV\CLIENTS\KATYISD\9_4PLAN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FINANCIAL%20SERVICES/Adopted%20Budget/2020-2021/Final%20Document/Section%203%20Financial%20Summary/Workpapers%205YFF%20-%20(21)%202020-2021%20Five-Year%20Financial%20Forecas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"/>
      <sheetName val="Data"/>
      <sheetName val="GO Table"/>
      <sheetName val="final debt service"/>
      <sheetName val="PPFCO Table"/>
      <sheetName val="isd Legal Calendar"/>
      <sheetName val="ISD Election Strategy"/>
      <sheetName val="isd Bond Sale"/>
      <sheetName val="DEBT"/>
      <sheetName val="Var Rate Criteria"/>
      <sheetName val="Tax Management"/>
      <sheetName val="Final Breakeven"/>
      <sheetName val="Breakeven 6%"/>
      <sheetName val="Accelerated 5.5%"/>
      <sheetName val="Accelerated 6%"/>
      <sheetName val="Construction Draw"/>
      <sheetName val="FinvsPay-As-You-Go"/>
      <sheetName val="Master Lease"/>
      <sheetName val="A (2)"/>
      <sheetName val="graph"/>
      <sheetName val="Sheet1"/>
      <sheetName val="issu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95K Change"/>
      <sheetName val="100-199"/>
      <sheetName val="100-PPE"/>
      <sheetName val="200-499"/>
      <sheetName val="200-PPE"/>
      <sheetName val="500-599"/>
      <sheetName val="500-PPE"/>
      <sheetName val="600-699"/>
      <sheetName val="600-PPE"/>
      <sheetName val="800-829"/>
      <sheetName val="800-PPE"/>
      <sheetName val="TOTALS"/>
      <sheetName val="TOTALS-PPE"/>
      <sheetName val="Chart 01"/>
      <sheetName val="Chart 02"/>
      <sheetName val="Chart 03"/>
      <sheetName val="Chart 04"/>
      <sheetName val="Chart 05"/>
      <sheetName val="Chart 06"/>
      <sheetName val="Chart 07"/>
      <sheetName val="Inde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/>
      <sheetData sheetId="12" refreshError="1"/>
      <sheetData sheetId="13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Sheet"/>
      <sheetName val="Tax Summary"/>
      <sheetName val="2.0 mm - 30 yr"/>
      <sheetName val="3.0 mm - 30 yr"/>
      <sheetName val="4.0 mm - 30 yr"/>
      <sheetName val="5.0 mm - 30 yr"/>
      <sheetName val="6.0 mm - 30 yr"/>
      <sheetName val="7.0 mm - 30 yr"/>
      <sheetName val="8.0 mm - 30 yr"/>
      <sheetName val="9.0 mm - 30 yr"/>
      <sheetName val="IFA MAX - 30 yr"/>
      <sheetName val="2.0 mm - 25 yr"/>
      <sheetName val="3.0 mm - 25 yr"/>
      <sheetName val="4.0 mm - 25 yr"/>
      <sheetName val="5.0 mm - 25 yr"/>
      <sheetName val="6.0 mm - 25 yr"/>
      <sheetName val="7.0 mm - 25 yr"/>
      <sheetName val="8.0 mm - 25 yr"/>
      <sheetName val="IFA MAX - 25 yr"/>
      <sheetName val="2.0 mm - 20 yr"/>
      <sheetName val="3.0 mm - 20 yr"/>
      <sheetName val="4.0 mm - 20 yr"/>
      <sheetName val="5.0 mm - 20 yr"/>
      <sheetName val="6.0 mm - 20 yr"/>
      <sheetName val="7.0 mm - 20 yr"/>
      <sheetName val="IFA MAX - 20 yr"/>
      <sheetName val="2.0 mm - 15 yr"/>
      <sheetName val="3.0 mm - 15 yr"/>
      <sheetName val="4.0 mm - 15 yr"/>
      <sheetName val="5.0 mm - 15 yr"/>
      <sheetName val="6.0 mm - 15 yr"/>
      <sheetName val="IFA MAX - 15 yr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bt schedules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es"/>
      <sheetName val="F100 Summary"/>
      <sheetName val="F100 Function"/>
      <sheetName val="F100 Object"/>
      <sheetName val="adopted budget"/>
      <sheetName val="Per Pupil"/>
      <sheetName val="Student Projection"/>
      <sheetName val="Property"/>
      <sheetName val="Budget Requests"/>
      <sheetName val="Staffing Requests"/>
      <sheetName val="Raise Scenarios"/>
      <sheetName val="Staff Projection"/>
      <sheetName val="Chart"/>
      <sheetName val="Average Salary"/>
      <sheetName val="Chapter 41 Calculation"/>
      <sheetName val="SOF-SB1"/>
      <sheetName val="Assumption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>
        <row r="24">
          <cell r="L24">
            <v>612493</v>
          </cell>
        </row>
        <row r="39">
          <cell r="N39">
            <v>0</v>
          </cell>
        </row>
        <row r="40">
          <cell r="N40">
            <v>0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ovel, Tanda" id="{EA448269-2B2C-426B-8095-A836EDA31330}" userId="S::tdovel@nisdtx.org::f622684e-b8da-48d9-a6d0-cabb4b487bbb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28" dT="2021-01-21T17:58:01.42" personId="{EA448269-2B2C-426B-8095-A836EDA31330}" id="{16F9B7DE-8F84-42D4-A92E-D2D1992C2839}">
    <text>analysis of o/s debt july 15, 2020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Relationship Id="rId4" Type="http://schemas.microsoft.com/office/2017/10/relationships/threadedComment" Target="../threadedComments/threadedComment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07"/>
  <sheetViews>
    <sheetView tabSelected="1" workbookViewId="0">
      <selection activeCell="T41" sqref="T41"/>
    </sheetView>
  </sheetViews>
  <sheetFormatPr defaultColWidth="5.7109375" defaultRowHeight="15"/>
  <cols>
    <col min="1" max="1" width="42.28515625" style="4" customWidth="1"/>
    <col min="2" max="5" width="12.28515625" style="4" customWidth="1"/>
    <col min="6" max="6" width="13.42578125" style="4" customWidth="1"/>
    <col min="7" max="7" width="7.28515625" style="4" hidden="1" customWidth="1"/>
    <col min="8" max="16384" width="5.7109375" style="4"/>
  </cols>
  <sheetData>
    <row r="1" spans="1:7" s="29" customFormat="1" ht="15.75">
      <c r="A1" s="207" t="s">
        <v>0</v>
      </c>
      <c r="B1" s="207"/>
      <c r="C1" s="207"/>
      <c r="D1" s="207"/>
      <c r="E1" s="207"/>
      <c r="F1" s="207"/>
      <c r="G1" s="28"/>
    </row>
    <row r="2" spans="1:7" s="29" customFormat="1" ht="15.75">
      <c r="A2" s="208" t="s">
        <v>1</v>
      </c>
      <c r="B2" s="208"/>
      <c r="C2" s="208"/>
      <c r="D2" s="208"/>
      <c r="E2" s="208"/>
      <c r="F2" s="208"/>
      <c r="G2" s="28"/>
    </row>
    <row r="3" spans="1:7" s="29" customFormat="1" ht="12.75" customHeight="1">
      <c r="A3" s="207" t="s">
        <v>81</v>
      </c>
      <c r="B3" s="207"/>
      <c r="C3" s="207"/>
      <c r="D3" s="207"/>
      <c r="E3" s="207"/>
      <c r="F3" s="207"/>
    </row>
    <row r="4" spans="1:7" s="29" customFormat="1" ht="15.75">
      <c r="A4" s="206" t="s">
        <v>90</v>
      </c>
      <c r="B4" s="206"/>
      <c r="C4" s="206"/>
      <c r="D4" s="206"/>
      <c r="E4" s="206"/>
      <c r="F4" s="206"/>
      <c r="G4" s="30"/>
    </row>
    <row r="5" spans="1:7" s="29" customFormat="1" ht="15.75">
      <c r="A5" s="31"/>
      <c r="B5" s="31"/>
      <c r="C5" s="31"/>
      <c r="D5" s="58"/>
      <c r="E5" s="58" t="s">
        <v>65</v>
      </c>
      <c r="F5" s="40" t="s">
        <v>65</v>
      </c>
      <c r="G5" s="31"/>
    </row>
    <row r="6" spans="1:7" s="29" customFormat="1" ht="15.75">
      <c r="A6" s="32"/>
      <c r="B6" s="59" t="s">
        <v>2</v>
      </c>
      <c r="C6" s="65" t="s">
        <v>2</v>
      </c>
      <c r="D6" s="65" t="s">
        <v>2</v>
      </c>
      <c r="E6" s="59" t="s">
        <v>3</v>
      </c>
      <c r="F6" s="33" t="s">
        <v>3</v>
      </c>
      <c r="G6" s="33" t="s">
        <v>4</v>
      </c>
    </row>
    <row r="7" spans="1:7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</row>
    <row r="8" spans="1:7">
      <c r="A8" s="7" t="s">
        <v>7</v>
      </c>
      <c r="B8" s="8"/>
      <c r="C8" s="8"/>
      <c r="D8" s="8"/>
      <c r="E8" s="8"/>
      <c r="F8" s="8"/>
      <c r="G8" s="8"/>
    </row>
    <row r="9" spans="1:7">
      <c r="A9" s="8" t="s">
        <v>8</v>
      </c>
      <c r="B9" s="25">
        <f>+'F100 Sum'!B9+'F200 Object'!B9+'F500 Sum'!B9+'F600 Sum'!B9</f>
        <v>204062093</v>
      </c>
      <c r="C9" s="25">
        <f>+'F100 Sum'!C9+'F200 Object'!C9+'F500 Sum'!C9+'F600 Sum'!C9+2</f>
        <v>236323573</v>
      </c>
      <c r="D9" s="25">
        <f>+'F100 Sum'!D9+'F200 Object'!D9+'F500 Sum'!D9+'F600 Sum'!D9</f>
        <v>277074724.12</v>
      </c>
      <c r="E9" s="25">
        <f>+'F100 Sum'!E9+'F200 Object'!E9+'F500 Sum'!E9+'F600 Sum'!E9</f>
        <v>279163149.5</v>
      </c>
      <c r="F9" s="25">
        <f>+'F100 Sum'!F9+'F200 Object'!F9+'F500 Sum'!F9+'F600 Sum'!F9</f>
        <v>298297639</v>
      </c>
      <c r="G9" s="14">
        <f>F9-D9</f>
        <v>21222914.879999995</v>
      </c>
    </row>
    <row r="10" spans="1:7">
      <c r="A10" s="8" t="s">
        <v>9</v>
      </c>
      <c r="B10" s="25">
        <f>+'F100 Sum'!B10+'F200 Object'!B10+'F500 Sum'!B10+'F600 Sum'!B10</f>
        <v>40048685</v>
      </c>
      <c r="C10" s="25">
        <f>+'F100 Sum'!C10+'F200 Object'!C10+'F500 Sum'!C10+'F600 Sum'!C10</f>
        <v>37883562</v>
      </c>
      <c r="D10" s="25">
        <f>+'F100 Sum'!D10+'F200 Object'!D10+'F500 Sum'!D10+'F600 Sum'!D10</f>
        <v>30704356</v>
      </c>
      <c r="E10" s="25">
        <f>+'F100 Sum'!E10+'F200 Object'!E10+'F500 Sum'!E10+'F600 Sum'!E10</f>
        <v>21464603</v>
      </c>
      <c r="F10" s="25">
        <f>+'F100 Sum'!F10+'F200 Object'!F10+'F500 Sum'!F10+'F600 Sum'!F10</f>
        <v>25641009.109999999</v>
      </c>
      <c r="G10" s="9">
        <f>F10-D10</f>
        <v>-5063346.8900000006</v>
      </c>
    </row>
    <row r="11" spans="1:7" ht="17.25">
      <c r="A11" s="8" t="s">
        <v>10</v>
      </c>
      <c r="B11" s="26">
        <f>+'F100 Sum'!B11+'F200 Object'!B11+'F500 Sum'!B11+'F600 Sum'!B11</f>
        <v>3746267</v>
      </c>
      <c r="C11" s="26">
        <f>+'F100 Sum'!C11+'F200 Object'!C11+'F500 Sum'!C11+'F600 Sum'!C11</f>
        <v>4345755</v>
      </c>
      <c r="D11" s="26">
        <f>+'F100 Sum'!D11+'F200 Object'!D11+'F500 Sum'!D11+'F600 Sum'!D11</f>
        <v>7213842</v>
      </c>
      <c r="E11" s="26">
        <f>+'F100 Sum'!E11+'F200 Object'!E11+'F500 Sum'!E11+'F600 Sum'!E11</f>
        <v>5779411</v>
      </c>
      <c r="F11" s="26">
        <f>+'F100 Sum'!F11+'F200 Object'!F11+'F500 Sum'!F11+'F600 Sum'!F11</f>
        <v>5932036</v>
      </c>
      <c r="G11" s="10">
        <f>F11-D11</f>
        <v>-1281806</v>
      </c>
    </row>
    <row r="12" spans="1:7">
      <c r="A12" s="8"/>
      <c r="B12" s="17"/>
      <c r="C12" s="17"/>
      <c r="D12" s="17"/>
      <c r="E12" s="17"/>
      <c r="F12" s="17"/>
      <c r="G12" s="8"/>
    </row>
    <row r="13" spans="1:7" ht="17.25">
      <c r="A13" s="8" t="s">
        <v>11</v>
      </c>
      <c r="B13" s="20">
        <f t="shared" ref="B13:G13" si="0">SUM(B9:B11)</f>
        <v>247857045</v>
      </c>
      <c r="C13" s="20">
        <f t="shared" si="0"/>
        <v>278552890</v>
      </c>
      <c r="D13" s="20">
        <f t="shared" si="0"/>
        <v>314992922.12</v>
      </c>
      <c r="E13" s="20">
        <f t="shared" si="0"/>
        <v>306407163.5</v>
      </c>
      <c r="F13" s="20">
        <f t="shared" si="0"/>
        <v>329870684.11000001</v>
      </c>
      <c r="G13" s="15">
        <f t="shared" si="0"/>
        <v>14877761.989999995</v>
      </c>
    </row>
    <row r="14" spans="1:7">
      <c r="A14" s="8"/>
      <c r="B14" s="17"/>
      <c r="C14" s="17"/>
      <c r="D14" s="17"/>
      <c r="E14" s="17"/>
      <c r="F14" s="17"/>
      <c r="G14" s="8"/>
    </row>
    <row r="15" spans="1:7">
      <c r="A15" s="7" t="s">
        <v>12</v>
      </c>
      <c r="B15" s="17"/>
      <c r="C15" s="17"/>
      <c r="D15" s="17"/>
      <c r="E15" s="17"/>
      <c r="F15" s="17"/>
      <c r="G15" s="8"/>
    </row>
    <row r="16" spans="1:7">
      <c r="A16" s="8" t="s">
        <v>13</v>
      </c>
      <c r="B16" s="17"/>
      <c r="C16" s="17"/>
      <c r="D16" s="17"/>
      <c r="E16" s="17"/>
      <c r="F16" s="17"/>
      <c r="G16" s="8"/>
    </row>
    <row r="17" spans="1:7">
      <c r="A17" s="8" t="s">
        <v>14</v>
      </c>
      <c r="B17" s="6">
        <f>'F000 Detail'!B15+'F000 Detail'!B24+'F000 Detail'!B33</f>
        <v>123519517.20000006</v>
      </c>
      <c r="C17" s="6">
        <f>'F000 Detail'!C15+'F000 Detail'!C24+'F000 Detail'!C33</f>
        <v>131101594.55000015</v>
      </c>
      <c r="D17" s="6">
        <f>'F000 Detail'!D15+'F000 Detail'!D24+'F000 Detail'!D33</f>
        <v>144480927.19999999</v>
      </c>
      <c r="E17" s="6">
        <f>'F000 Detail'!E15+'F000 Detail'!E24+'F000 Detail'!E33</f>
        <v>156627796.52000031</v>
      </c>
      <c r="F17" s="6">
        <f>'F000 Detail'!F15+'F000 Detail'!F24+'F000 Detail'!F33</f>
        <v>158223033.22999999</v>
      </c>
      <c r="G17" s="9">
        <f t="shared" ref="G17:G25" si="1">F17-D17</f>
        <v>13742106.030000001</v>
      </c>
    </row>
    <row r="18" spans="1:7">
      <c r="A18" s="8" t="s">
        <v>15</v>
      </c>
      <c r="B18" s="6">
        <f>'F000 Detail'!B42+'F000 Detail'!B51</f>
        <v>10969944.080000002</v>
      </c>
      <c r="C18" s="6">
        <f>'F000 Detail'!C42+'F000 Detail'!C51</f>
        <v>11670421.270000003</v>
      </c>
      <c r="D18" s="6">
        <f>'F000 Detail'!D42+'F000 Detail'!D51</f>
        <v>12633388.25</v>
      </c>
      <c r="E18" s="6">
        <f>'F000 Detail'!E42+'F000 Detail'!E51</f>
        <v>13177457.430000007</v>
      </c>
      <c r="F18" s="6">
        <f>'F000 Detail'!F42+'F000 Detail'!F51</f>
        <v>16662375</v>
      </c>
      <c r="G18" s="9">
        <f t="shared" si="1"/>
        <v>4028986.75</v>
      </c>
    </row>
    <row r="19" spans="1:7">
      <c r="A19" s="8" t="s">
        <v>16</v>
      </c>
      <c r="B19" s="6">
        <f>'F000 Detail'!B60+'F000 Detail'!B69+'F000 Detail'!B78+'F000 Detail'!B87+'F000 Detail'!B96+'F000 Detail'!B105</f>
        <v>35804905.340000004</v>
      </c>
      <c r="C19" s="6">
        <f>'F000 Detail'!C60+'F000 Detail'!C69+'F000 Detail'!C78+'F000 Detail'!C87+'F000 Detail'!C96+'F000 Detail'!C105</f>
        <v>52435452.189999998</v>
      </c>
      <c r="D19" s="6">
        <f>'F000 Detail'!D60+'F000 Detail'!D69+'F000 Detail'!D78+'F000 Detail'!D87+'F000 Detail'!D96+'F000 Detail'!D105</f>
        <v>46726191.859999999</v>
      </c>
      <c r="E19" s="6">
        <f>'F000 Detail'!E60+'F000 Detail'!E69+'F000 Detail'!E78+'F000 Detail'!E87+'F000 Detail'!E96+'F000 Detail'!E105</f>
        <v>41174402.789999984</v>
      </c>
      <c r="F19" s="6">
        <f>'F000 Detail'!F60+'F000 Detail'!F69+'F000 Detail'!F78+'F000 Detail'!F87+'F000 Detail'!F96+'F000 Detail'!F105</f>
        <v>48162961.059999995</v>
      </c>
      <c r="G19" s="9">
        <f t="shared" si="1"/>
        <v>1436769.1999999955</v>
      </c>
    </row>
    <row r="20" spans="1:7">
      <c r="A20" s="8" t="s">
        <v>17</v>
      </c>
      <c r="B20" s="6">
        <f>'F000 Detail'!B114</f>
        <v>5643100.870000001</v>
      </c>
      <c r="C20" s="6">
        <f>'F000 Detail'!C114</f>
        <v>6000421.620000001</v>
      </c>
      <c r="D20" s="6">
        <f>'F000 Detail'!D114</f>
        <v>6678661</v>
      </c>
      <c r="E20" s="6">
        <f>'F000 Detail'!E114</f>
        <v>6425374.5600000005</v>
      </c>
      <c r="F20" s="6">
        <f>'F000 Detail'!F114</f>
        <v>7200489</v>
      </c>
      <c r="G20" s="9">
        <f t="shared" si="1"/>
        <v>521828</v>
      </c>
    </row>
    <row r="21" spans="1:7">
      <c r="A21" s="8" t="s">
        <v>18</v>
      </c>
      <c r="B21" s="6">
        <f>'F000 Detail'!B123+'F000 Detail'!B132+'F000 Detail'!B141+1</f>
        <v>24665450.370000005</v>
      </c>
      <c r="C21" s="6">
        <f>'F000 Detail'!C123+'F000 Detail'!C132+'F000 Detail'!C141</f>
        <v>24869480.279999997</v>
      </c>
      <c r="D21" s="6">
        <f>'F000 Detail'!D123+'F000 Detail'!D132+'F000 Detail'!D141</f>
        <v>28281279.199999999</v>
      </c>
      <c r="E21" s="6">
        <f>'F000 Detail'!E123+'F000 Detail'!E132+'F000 Detail'!E141</f>
        <v>31697230.579999994</v>
      </c>
      <c r="F21" s="6">
        <f>'F000 Detail'!F123+'F000 Detail'!F132+'F000 Detail'!F141</f>
        <v>33164135.41</v>
      </c>
      <c r="G21" s="9">
        <f t="shared" si="1"/>
        <v>4882856.2100000009</v>
      </c>
    </row>
    <row r="22" spans="1:7">
      <c r="A22" s="8" t="s">
        <v>19</v>
      </c>
      <c r="B22" s="6">
        <f>'F000 Detail'!B150</f>
        <v>168779.36000000002</v>
      </c>
      <c r="C22" s="6">
        <f>'F000 Detail'!C150</f>
        <v>140938.66</v>
      </c>
      <c r="D22" s="6">
        <f>'F000 Detail'!D150</f>
        <v>212574</v>
      </c>
      <c r="E22" s="6">
        <f>'F000 Detail'!E150</f>
        <v>226403.56000000003</v>
      </c>
      <c r="F22" s="6">
        <f>'F000 Detail'!F150</f>
        <v>260850</v>
      </c>
      <c r="G22" s="9">
        <f t="shared" si="1"/>
        <v>48276</v>
      </c>
    </row>
    <row r="23" spans="1:7">
      <c r="A23" s="8" t="s">
        <v>20</v>
      </c>
      <c r="B23" s="6">
        <f>'F000 Detail'!B159</f>
        <v>57833491.100000001</v>
      </c>
      <c r="C23" s="6">
        <f>'F000 Detail'!C159</f>
        <v>67230578.650000006</v>
      </c>
      <c r="D23" s="6">
        <f>'F000 Detail'!D159</f>
        <v>68060680</v>
      </c>
      <c r="E23" s="6">
        <f>'F000 Detail'!E159</f>
        <v>78664435</v>
      </c>
      <c r="F23" s="6">
        <f>'F000 Detail'!F159</f>
        <v>83484994</v>
      </c>
      <c r="G23" s="9">
        <f t="shared" si="1"/>
        <v>15424314</v>
      </c>
    </row>
    <row r="24" spans="1:7">
      <c r="A24" s="8" t="s">
        <v>21</v>
      </c>
      <c r="B24" s="6">
        <f>'F000 Detail'!B168</f>
        <v>66924947.039999984</v>
      </c>
      <c r="C24" s="6">
        <f>'F000 Detail'!C168</f>
        <v>94053650.39000006</v>
      </c>
      <c r="D24" s="6">
        <f>'F000 Detail'!D168</f>
        <v>97873485.310000002</v>
      </c>
      <c r="E24" s="6">
        <f>'F000 Detail'!E168</f>
        <v>212291385.68000001</v>
      </c>
      <c r="F24" s="6">
        <f>'F000 Detail'!F168</f>
        <v>187761679.40000001</v>
      </c>
      <c r="G24" s="9">
        <f t="shared" si="1"/>
        <v>89888194.090000004</v>
      </c>
    </row>
    <row r="25" spans="1:7" ht="17.25">
      <c r="A25" s="8" t="s">
        <v>22</v>
      </c>
      <c r="B25" s="19">
        <f>'F000 Detail'!B177+'F000 Detail'!B186+'F000 Detail'!B195+'F000 Detail'!B204+'F000 Detail'!B213</f>
        <v>2216762.8899999997</v>
      </c>
      <c r="C25" s="19">
        <f>'F000 Detail'!C177+'F000 Detail'!C186+'F000 Detail'!C195+'F000 Detail'!C204+'F000 Detail'!C213</f>
        <v>2273857.8899999997</v>
      </c>
      <c r="D25" s="19">
        <f>'F000 Detail'!D177+'F000 Detail'!D186+'F000 Detail'!D195+'F000 Detail'!D204+'F000 Detail'!D213</f>
        <v>7855130</v>
      </c>
      <c r="E25" s="19">
        <f>'F000 Detail'!E177+'F000 Detail'!E186+'F000 Detail'!E195+'F000 Detail'!E204+'F000 Detail'!E213</f>
        <v>6732039</v>
      </c>
      <c r="F25" s="19">
        <f>'F000 Detail'!F177+'F000 Detail'!F186+'F000 Detail'!F195+'F000 Detail'!F204+'F000 Detail'!F213</f>
        <v>11032039</v>
      </c>
      <c r="G25" s="10">
        <f t="shared" si="1"/>
        <v>3176909</v>
      </c>
    </row>
    <row r="26" spans="1:7">
      <c r="A26" s="8"/>
      <c r="B26" s="17"/>
      <c r="C26" s="17"/>
      <c r="D26" s="17"/>
      <c r="E26" s="17"/>
      <c r="F26" s="17"/>
      <c r="G26" s="8"/>
    </row>
    <row r="27" spans="1:7" ht="17.25">
      <c r="A27" s="8" t="s">
        <v>23</v>
      </c>
      <c r="B27" s="20">
        <f>SUM(B17:B25)</f>
        <v>327746898.25000006</v>
      </c>
      <c r="C27" s="20">
        <f>SUM(C17:C25)-4</f>
        <v>389776391.50000018</v>
      </c>
      <c r="D27" s="20">
        <f>SUM(D17:D25)+2</f>
        <v>412802318.81999999</v>
      </c>
      <c r="E27" s="20">
        <f>SUM(E17:E25)</f>
        <v>547016525.12000036</v>
      </c>
      <c r="F27" s="20">
        <f>SUM(F17:F25)</f>
        <v>545952556.10000002</v>
      </c>
      <c r="G27" s="15">
        <f>SUM(G17:G25)</f>
        <v>133150239.28</v>
      </c>
    </row>
    <row r="28" spans="1:7">
      <c r="A28" s="8"/>
      <c r="B28" s="17"/>
      <c r="C28" s="17"/>
      <c r="D28" s="17"/>
      <c r="E28" s="17"/>
      <c r="F28" s="17"/>
      <c r="G28" s="8"/>
    </row>
    <row r="29" spans="1:7">
      <c r="A29" s="8" t="s">
        <v>24</v>
      </c>
      <c r="B29" s="17"/>
      <c r="C29" s="17"/>
      <c r="D29" s="17"/>
      <c r="E29" s="17"/>
      <c r="F29" s="17"/>
      <c r="G29" s="8"/>
    </row>
    <row r="30" spans="1:7">
      <c r="A30" s="8" t="s">
        <v>25</v>
      </c>
      <c r="B30" s="43">
        <f>+B13-B27</f>
        <v>-79889853.25000006</v>
      </c>
      <c r="C30" s="43">
        <f>+C13-C27</f>
        <v>-111223501.50000018</v>
      </c>
      <c r="D30" s="43">
        <f>+D13-D27</f>
        <v>-97809396.699999988</v>
      </c>
      <c r="E30" s="43">
        <f>+E13-E27</f>
        <v>-240609361.62000036</v>
      </c>
      <c r="F30" s="43">
        <f>+F13-F27</f>
        <v>-216081871.99000001</v>
      </c>
      <c r="G30" s="9">
        <f>F30-D30</f>
        <v>-118272475.29000002</v>
      </c>
    </row>
    <row r="31" spans="1:7">
      <c r="A31" s="8"/>
      <c r="B31" s="17"/>
      <c r="C31" s="17"/>
      <c r="D31" s="17"/>
      <c r="E31" s="17"/>
      <c r="F31" s="17"/>
      <c r="G31" s="9"/>
    </row>
    <row r="32" spans="1:7">
      <c r="A32" s="8" t="s">
        <v>26</v>
      </c>
      <c r="B32" s="25">
        <f>+'F100 Sum'!B32+'F200 Object'!B38+'F500 Sum'!B32+'F600 Sum'!B32</f>
        <v>215875730</v>
      </c>
      <c r="C32" s="25">
        <f>+'F100 Sum'!C32+'F200 Object'!C38+'F500 Sum'!C32+'F600 Sum'!C32</f>
        <v>155758855</v>
      </c>
      <c r="D32" s="25">
        <f>+'F100 Sum'!D32+'F200 Object'!D38+'F500 Sum'!D32+'F600 Sum'!D32</f>
        <v>103664515.14</v>
      </c>
      <c r="E32" s="25">
        <f>+'F100 Sum'!E32+'F200 Object'!E38+'F500 Sum'!E32+'F600 Sum'!E32</f>
        <v>199000000</v>
      </c>
      <c r="F32" s="25">
        <f>+'F100 Sum'!F32+'F200 Object'!F38+'F500 Sum'!F32+'F600 Sum'!F32</f>
        <v>0</v>
      </c>
      <c r="G32" s="9">
        <f>F32-D32</f>
        <v>-103664515.14</v>
      </c>
    </row>
    <row r="33" spans="1:7" ht="17.25">
      <c r="A33" s="8" t="s">
        <v>27</v>
      </c>
      <c r="B33" s="56">
        <f>+'F100 Sum'!B33+'F200 Object'!B39+'F500 Sum'!B33+'F600 Sum'!B33</f>
        <v>-106433722.91</v>
      </c>
      <c r="C33" s="56">
        <f>+'F100 Sum'!C33+'F200 Object'!C39+'F500 Sum'!C33+'F600 Sum'!C33</f>
        <v>-46534183.879999995</v>
      </c>
      <c r="D33" s="56">
        <f>+'F100 Sum'!D33+'F200 Object'!D39+'F500 Sum'!D33+'F600 Sum'!D33</f>
        <v>6368550.25</v>
      </c>
      <c r="E33" s="56">
        <f>+'F100 Sum'!E33+'F200 Object'!E39+'F500 Sum'!E33+'F600 Sum'!E33</f>
        <v>9204494</v>
      </c>
      <c r="F33" s="56">
        <f>+'F100 Sum'!F33+'F200 Object'!F39+'F500 Sum'!F33+'F600 Sum'!F33</f>
        <v>8097785</v>
      </c>
      <c r="G33" s="10">
        <f>F33-D33</f>
        <v>1729234.75</v>
      </c>
    </row>
    <row r="34" spans="1:7">
      <c r="A34" s="8"/>
      <c r="B34" s="17"/>
      <c r="C34" s="17"/>
      <c r="D34" s="17"/>
      <c r="E34" s="17"/>
      <c r="F34" s="17"/>
      <c r="G34" s="8"/>
    </row>
    <row r="35" spans="1:7">
      <c r="A35" s="12"/>
      <c r="B35" s="21"/>
      <c r="C35" s="21"/>
      <c r="D35" s="21"/>
      <c r="E35" s="21"/>
      <c r="F35" s="21"/>
      <c r="G35" s="12"/>
    </row>
    <row r="36" spans="1:7">
      <c r="A36" s="8" t="s">
        <v>28</v>
      </c>
      <c r="B36" s="17"/>
      <c r="C36" s="17"/>
      <c r="D36" s="17"/>
      <c r="E36" s="17"/>
      <c r="F36" s="17"/>
      <c r="G36" s="8"/>
    </row>
    <row r="37" spans="1:7">
      <c r="A37" s="8" t="s">
        <v>29</v>
      </c>
      <c r="B37" s="43">
        <f>SUM(B30:B33)+1</f>
        <v>29552154.839999944</v>
      </c>
      <c r="C37" s="43">
        <f>SUM(C30:C33)</f>
        <v>-1998830.380000174</v>
      </c>
      <c r="D37" s="43">
        <f>SUM(D30:D33)</f>
        <v>12223668.690000013</v>
      </c>
      <c r="E37" s="43">
        <f>SUM(E30:E33)</f>
        <v>-32404867.620000362</v>
      </c>
      <c r="F37" s="43">
        <f>SUM(F30:F33)</f>
        <v>-207984086.99000001</v>
      </c>
      <c r="G37" s="9">
        <f>F37-D37</f>
        <v>-220207755.68000001</v>
      </c>
    </row>
    <row r="38" spans="1:7">
      <c r="A38" s="8"/>
      <c r="B38" s="17"/>
      <c r="C38" s="17"/>
      <c r="D38" s="17"/>
      <c r="E38" s="17"/>
      <c r="F38" s="17"/>
      <c r="G38" s="8"/>
    </row>
    <row r="39" spans="1:7">
      <c r="A39" s="8" t="s">
        <v>30</v>
      </c>
      <c r="B39" s="25">
        <f>+'F100 Sum'!B39+'F200 Object'!B45+'F500 Sum'!B39+'F600 Sum'!B39</f>
        <v>233676144</v>
      </c>
      <c r="C39" s="25">
        <f>B43</f>
        <v>263228298.83999994</v>
      </c>
      <c r="D39" s="25">
        <f>C43</f>
        <v>261229467.45999977</v>
      </c>
      <c r="E39" s="25">
        <f>D43</f>
        <v>273453135.1499998</v>
      </c>
      <c r="F39" s="25">
        <f>E43</f>
        <v>241048266.52999943</v>
      </c>
      <c r="G39" s="9">
        <f>F39-D39</f>
        <v>-20181200.930000335</v>
      </c>
    </row>
    <row r="40" spans="1:7">
      <c r="A40" s="8"/>
      <c r="B40" s="17"/>
      <c r="C40" s="17"/>
      <c r="D40" s="17"/>
      <c r="E40" s="17"/>
      <c r="F40" s="17"/>
      <c r="G40" s="8"/>
    </row>
    <row r="41" spans="1:7" ht="17.25">
      <c r="A41" s="8" t="s">
        <v>31</v>
      </c>
      <c r="B41" s="26">
        <f>+'F100 Sum'!B41+'F200 Object'!B47+'F500 Sum'!B41+'F600 Sum'!B41</f>
        <v>0</v>
      </c>
      <c r="C41" s="26">
        <f>+'F100 Sum'!C41+'F200 Object'!C47+'F500 Sum'!C41+'F600 Sum'!C41</f>
        <v>0</v>
      </c>
      <c r="D41" s="26">
        <f>+'F100 Sum'!D41+'F200 Object'!D47+'F500 Sum'!D41+'F600 Sum'!D41</f>
        <v>0</v>
      </c>
      <c r="E41" s="26">
        <f>+'F100 Sum'!E41+'F200 Object'!E47+'F500 Sum'!E41+'F600 Sum'!E41</f>
        <v>0</v>
      </c>
      <c r="F41" s="26">
        <f>+'F100 Sum'!F41+'F200 Object'!F47+'F500 Sum'!F41+'F600 Sum'!F41</f>
        <v>0</v>
      </c>
      <c r="G41" s="10">
        <f>F41-D41</f>
        <v>0</v>
      </c>
    </row>
    <row r="42" spans="1:7">
      <c r="A42" s="8"/>
      <c r="B42" s="17"/>
      <c r="C42" s="17"/>
      <c r="D42" s="17"/>
      <c r="E42" s="17"/>
      <c r="F42" s="17"/>
      <c r="G42" s="8"/>
    </row>
    <row r="43" spans="1:7" ht="17.25">
      <c r="A43" s="7" t="s">
        <v>68</v>
      </c>
      <c r="B43" s="20">
        <f>SUM(B37:B41)</f>
        <v>263228298.83999994</v>
      </c>
      <c r="C43" s="20">
        <f>SUM(C37:C41)-1</f>
        <v>261229467.45999977</v>
      </c>
      <c r="D43" s="20">
        <f>SUM(D37:D41)-1</f>
        <v>273453135.1499998</v>
      </c>
      <c r="E43" s="20">
        <f>SUM(E37:E41)-1</f>
        <v>241048266.52999943</v>
      </c>
      <c r="F43" s="20">
        <f>SUM(F37:F41)</f>
        <v>33064179.539999425</v>
      </c>
      <c r="G43" s="27">
        <f>SUM(G37:G41)</f>
        <v>-240388956.61000034</v>
      </c>
    </row>
    <row r="44" spans="1:7">
      <c r="A44" s="8"/>
      <c r="B44" s="8"/>
      <c r="C44" s="8"/>
      <c r="D44" s="8"/>
      <c r="E44" s="8"/>
      <c r="F44" s="8"/>
      <c r="G44" s="8"/>
    </row>
    <row r="45" spans="1:7">
      <c r="B45" s="3"/>
      <c r="C45" s="3"/>
      <c r="D45" s="3"/>
      <c r="E45" s="3"/>
      <c r="F45" s="3"/>
      <c r="G45" s="3"/>
    </row>
    <row r="46" spans="1:7">
      <c r="B46" s="3"/>
      <c r="C46" s="3"/>
      <c r="D46" s="3"/>
      <c r="E46" s="3"/>
      <c r="F46" s="3"/>
      <c r="G46" s="3"/>
    </row>
    <row r="47" spans="1:7">
      <c r="B47" s="3"/>
      <c r="C47" s="3"/>
      <c r="D47" s="3"/>
      <c r="E47" s="3"/>
      <c r="F47" s="3"/>
      <c r="G47" s="3"/>
    </row>
    <row r="48" spans="1:7">
      <c r="B48" s="3"/>
      <c r="C48" s="3"/>
      <c r="D48" s="3"/>
      <c r="E48" s="3"/>
      <c r="F48" s="3"/>
      <c r="G48" s="3"/>
    </row>
    <row r="49" spans="1:7">
      <c r="B49" s="8"/>
      <c r="C49" s="8"/>
      <c r="D49" s="8"/>
      <c r="E49" s="8"/>
      <c r="F49" s="8"/>
      <c r="G49" s="8"/>
    </row>
    <row r="50" spans="1:7">
      <c r="B50" s="8"/>
      <c r="C50" s="11"/>
      <c r="D50" s="3"/>
      <c r="E50" s="3"/>
      <c r="F50" s="3"/>
      <c r="G50" s="3"/>
    </row>
    <row r="51" spans="1:7">
      <c r="B51" s="11"/>
      <c r="C51" s="11"/>
      <c r="D51" s="11"/>
      <c r="E51" s="11"/>
      <c r="F51" s="11"/>
      <c r="G51" s="11"/>
    </row>
    <row r="52" spans="1:7">
      <c r="B52" s="8"/>
      <c r="C52" s="8"/>
      <c r="D52" s="8"/>
      <c r="E52" s="8"/>
      <c r="F52" s="8"/>
      <c r="G52" s="8"/>
    </row>
    <row r="53" spans="1:7">
      <c r="B53" s="8"/>
      <c r="C53" s="8"/>
      <c r="D53" s="8"/>
      <c r="E53" s="8"/>
      <c r="F53" s="8"/>
      <c r="G53" s="8"/>
    </row>
    <row r="54" spans="1:7">
      <c r="B54" s="8"/>
      <c r="C54" s="8"/>
      <c r="D54" s="8"/>
      <c r="E54" s="8"/>
      <c r="F54" s="8"/>
      <c r="G54" s="8"/>
    </row>
    <row r="55" spans="1:7"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11"/>
      <c r="E77" s="3"/>
      <c r="F77" s="3"/>
      <c r="G77" s="3"/>
    </row>
    <row r="78" spans="1:7">
      <c r="A78" s="8"/>
      <c r="B78" s="8"/>
      <c r="C78" s="11"/>
      <c r="D78" s="11"/>
      <c r="E78" s="11"/>
      <c r="F78" s="11"/>
      <c r="G78" s="11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8"/>
      <c r="D88" s="8"/>
      <c r="E88" s="8"/>
      <c r="F88" s="8"/>
      <c r="G88" s="8"/>
    </row>
    <row r="89" spans="1:7">
      <c r="A89" s="12"/>
      <c r="B89" s="12"/>
      <c r="C89" s="12"/>
      <c r="D89" s="12"/>
      <c r="E89" s="12"/>
      <c r="F89" s="12"/>
      <c r="G89" s="12"/>
    </row>
    <row r="90" spans="1:7">
      <c r="A90" s="8"/>
      <c r="B90" s="8"/>
      <c r="C90" s="8"/>
      <c r="D90" s="8"/>
      <c r="E90" s="8"/>
      <c r="F90" s="8"/>
      <c r="G90" s="8"/>
    </row>
    <row r="91" spans="1:7">
      <c r="A91" s="8"/>
      <c r="B91" s="8"/>
      <c r="C91" s="8"/>
      <c r="D91" s="8"/>
      <c r="E91" s="8"/>
      <c r="F91" s="8"/>
      <c r="G91" s="8"/>
    </row>
    <row r="92" spans="1:7">
      <c r="A92" s="8"/>
      <c r="B92" s="8"/>
      <c r="C92" s="13"/>
      <c r="D92" s="13"/>
      <c r="E92" s="8"/>
      <c r="F92" s="8"/>
      <c r="G92" s="8"/>
    </row>
    <row r="93" spans="1:7">
      <c r="A93" s="8"/>
      <c r="B93" s="8"/>
      <c r="C93" s="13"/>
      <c r="D93" s="8"/>
      <c r="E93" s="8"/>
      <c r="F93" s="8"/>
      <c r="G93" s="8"/>
    </row>
    <row r="94" spans="1:7">
      <c r="A94" s="8"/>
      <c r="B94" s="8"/>
      <c r="C94" s="13"/>
      <c r="D94" s="8"/>
      <c r="E94" s="8"/>
      <c r="F94" s="8"/>
      <c r="G94" s="8"/>
    </row>
    <row r="95" spans="1:7">
      <c r="A95" s="8"/>
      <c r="B95" s="8"/>
      <c r="C95" s="13"/>
      <c r="D95" s="8"/>
      <c r="E95" s="8"/>
      <c r="F95" s="8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13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13"/>
      <c r="D103" s="8"/>
      <c r="E103" s="8"/>
      <c r="F103" s="8"/>
      <c r="G103" s="8"/>
    </row>
    <row r="104" spans="1:7">
      <c r="A104" s="8"/>
      <c r="B104" s="8"/>
      <c r="C104" s="13"/>
      <c r="D104" s="8"/>
      <c r="E104" s="8"/>
      <c r="F104" s="8"/>
      <c r="G104" s="8"/>
    </row>
    <row r="105" spans="1:7">
      <c r="A105" s="8"/>
      <c r="B105" s="8"/>
      <c r="C105" s="13"/>
      <c r="D105" s="13"/>
      <c r="E105" s="8"/>
      <c r="F105" s="8"/>
      <c r="G105" s="8"/>
    </row>
    <row r="106" spans="1:7">
      <c r="A106" s="8"/>
      <c r="B106" s="8"/>
      <c r="C106" s="13"/>
      <c r="D106" s="8"/>
      <c r="E106" s="8"/>
      <c r="F106" s="8"/>
      <c r="G106" s="8"/>
    </row>
    <row r="107" spans="1:7">
      <c r="A107" s="8"/>
      <c r="B107" s="8"/>
      <c r="C107" s="13"/>
      <c r="D107" s="13"/>
      <c r="E107" s="8"/>
      <c r="F107" s="8"/>
      <c r="G107" s="8"/>
    </row>
  </sheetData>
  <mergeCells count="4">
    <mergeCell ref="A4:F4"/>
    <mergeCell ref="A1:F1"/>
    <mergeCell ref="A2:F2"/>
    <mergeCell ref="A3:F3"/>
  </mergeCells>
  <phoneticPr fontId="13" type="noConversion"/>
  <pageMargins left="0.75" right="0.5" top="1" bottom="0.5" header="0.5" footer="0.5"/>
  <pageSetup scale="83" orientation="portrait" horizontalDpi="4294967295" verticalDpi="4294967295" r:id="rId1"/>
  <headerFooter alignWithMargins="0"/>
  <rowBreaks count="2" manualBreakCount="2">
    <brk id="44" max="65535" man="1"/>
    <brk id="71" max="6553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07"/>
  <sheetViews>
    <sheetView workbookViewId="0">
      <selection activeCell="L55" sqref="L55"/>
    </sheetView>
  </sheetViews>
  <sheetFormatPr defaultColWidth="5.7109375" defaultRowHeight="15"/>
  <cols>
    <col min="1" max="1" width="42.28515625" style="4" customWidth="1"/>
    <col min="2" max="6" width="12.28515625" style="4" customWidth="1"/>
    <col min="7" max="7" width="7.28515625" style="4" hidden="1" customWidth="1"/>
    <col min="8" max="16384" width="5.7109375" style="4"/>
  </cols>
  <sheetData>
    <row r="1" spans="1:7" s="29" customFormat="1" ht="15.75">
      <c r="A1" s="213" t="s">
        <v>0</v>
      </c>
      <c r="B1" s="213"/>
      <c r="C1" s="213"/>
      <c r="D1" s="213"/>
      <c r="E1" s="213"/>
      <c r="F1" s="213"/>
      <c r="G1" s="30"/>
    </row>
    <row r="2" spans="1:7" s="29" customFormat="1" ht="15.75">
      <c r="A2" s="212" t="s">
        <v>1</v>
      </c>
      <c r="B2" s="212"/>
      <c r="C2" s="212"/>
      <c r="D2" s="212"/>
      <c r="E2" s="212"/>
      <c r="F2" s="212"/>
      <c r="G2" s="30"/>
    </row>
    <row r="3" spans="1:7" s="29" customFormat="1" ht="15.75">
      <c r="A3" s="213" t="s">
        <v>66</v>
      </c>
      <c r="B3" s="213"/>
      <c r="C3" s="213"/>
      <c r="D3" s="213"/>
      <c r="E3" s="213"/>
      <c r="F3" s="213"/>
      <c r="G3" s="30"/>
    </row>
    <row r="4" spans="1:7" s="29" customFormat="1" ht="15.75">
      <c r="A4" s="206" t="s">
        <v>90</v>
      </c>
      <c r="B4" s="206"/>
      <c r="C4" s="206"/>
      <c r="D4" s="206"/>
      <c r="E4" s="206"/>
      <c r="F4" s="206"/>
      <c r="G4" s="30"/>
    </row>
    <row r="5" spans="1:7" s="29" customFormat="1" ht="15.75">
      <c r="A5" s="31"/>
      <c r="B5" s="31"/>
      <c r="C5" s="31"/>
      <c r="D5" s="58"/>
      <c r="E5" s="58" t="s">
        <v>65</v>
      </c>
      <c r="F5" s="40" t="s">
        <v>65</v>
      </c>
      <c r="G5" s="31"/>
    </row>
    <row r="6" spans="1:7" s="29" customFormat="1" ht="15.75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  <c r="G6" s="33" t="s">
        <v>4</v>
      </c>
    </row>
    <row r="7" spans="1:7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</row>
    <row r="8" spans="1:7">
      <c r="A8" s="16" t="s">
        <v>7</v>
      </c>
      <c r="B8" s="17"/>
      <c r="C8" s="17"/>
      <c r="D8" s="17"/>
      <c r="E8" s="17"/>
      <c r="F8" s="17"/>
      <c r="G8" s="17"/>
    </row>
    <row r="9" spans="1:7">
      <c r="A9" s="17" t="s">
        <v>8</v>
      </c>
      <c r="B9" s="17">
        <v>55397177</v>
      </c>
      <c r="C9" s="17">
        <v>68223912</v>
      </c>
      <c r="D9" s="17">
        <v>79959727</v>
      </c>
      <c r="E9" s="17">
        <f>(74903312.5+85000)</f>
        <v>74988312.5</v>
      </c>
      <c r="F9" s="17">
        <v>86900000</v>
      </c>
      <c r="G9" s="18">
        <f>F9-D9</f>
        <v>6940273</v>
      </c>
    </row>
    <row r="10" spans="1:7">
      <c r="A10" s="17" t="s">
        <v>9</v>
      </c>
      <c r="B10" s="6">
        <v>953483</v>
      </c>
      <c r="C10" s="6">
        <v>831320</v>
      </c>
      <c r="D10" s="6">
        <v>786321</v>
      </c>
      <c r="E10" s="6">
        <f>0</f>
        <v>0</v>
      </c>
      <c r="F10" s="6">
        <f>0</f>
        <v>0</v>
      </c>
      <c r="G10" s="6">
        <f>F10-D10</f>
        <v>-786321</v>
      </c>
    </row>
    <row r="11" spans="1:7" ht="17.25">
      <c r="A11" s="17" t="s">
        <v>10</v>
      </c>
      <c r="B11" s="19">
        <f>0</f>
        <v>0</v>
      </c>
      <c r="C11" s="19">
        <f>0</f>
        <v>0</v>
      </c>
      <c r="D11" s="19">
        <f>0</f>
        <v>0</v>
      </c>
      <c r="E11" s="19">
        <f>0</f>
        <v>0</v>
      </c>
      <c r="F11" s="19">
        <f>0</f>
        <v>0</v>
      </c>
      <c r="G11" s="19">
        <f>F11-D11</f>
        <v>0</v>
      </c>
    </row>
    <row r="12" spans="1:7">
      <c r="A12" s="17"/>
      <c r="B12" s="42"/>
      <c r="C12" s="42"/>
      <c r="D12" s="42"/>
      <c r="E12" s="42"/>
      <c r="F12" s="42"/>
      <c r="G12" s="17"/>
    </row>
    <row r="13" spans="1:7" ht="17.25">
      <c r="A13" s="17" t="s">
        <v>11</v>
      </c>
      <c r="B13" s="20">
        <f t="shared" ref="B13:G13" si="0">SUM(B9:B11)</f>
        <v>56350660</v>
      </c>
      <c r="C13" s="20">
        <f t="shared" si="0"/>
        <v>69055232</v>
      </c>
      <c r="D13" s="20">
        <f t="shared" si="0"/>
        <v>80746048</v>
      </c>
      <c r="E13" s="20">
        <f t="shared" si="0"/>
        <v>74988312.5</v>
      </c>
      <c r="F13" s="20">
        <f t="shared" si="0"/>
        <v>86900000</v>
      </c>
      <c r="G13" s="20">
        <f t="shared" si="0"/>
        <v>6153952</v>
      </c>
    </row>
    <row r="14" spans="1:7">
      <c r="A14" s="17"/>
      <c r="B14" s="17"/>
      <c r="C14" s="17"/>
      <c r="D14" s="42"/>
      <c r="E14" s="42"/>
      <c r="F14" s="42"/>
      <c r="G14" s="17"/>
    </row>
    <row r="15" spans="1:7">
      <c r="A15" s="16" t="s">
        <v>12</v>
      </c>
      <c r="B15" s="17"/>
      <c r="C15" s="17"/>
      <c r="D15" s="42"/>
      <c r="E15" s="42"/>
      <c r="F15" s="42"/>
      <c r="G15" s="17"/>
    </row>
    <row r="16" spans="1:7">
      <c r="A16" s="17" t="s">
        <v>13</v>
      </c>
      <c r="B16" s="17"/>
      <c r="C16" s="17"/>
      <c r="D16" s="42"/>
      <c r="E16" s="42"/>
      <c r="F16" s="42"/>
      <c r="G16" s="17"/>
    </row>
    <row r="17" spans="1:7">
      <c r="A17" s="17" t="s">
        <v>14</v>
      </c>
      <c r="B17" s="6">
        <f>'F500 Detail'!B15+'F500 Detail'!B24+'F500 Detail'!B33</f>
        <v>0</v>
      </c>
      <c r="C17" s="6">
        <f>'F500 Detail'!C15+'F500 Detail'!C24+'F500 Detail'!C33</f>
        <v>0</v>
      </c>
      <c r="D17" s="6">
        <f>'F500 Detail'!D15+'F500 Detail'!D24+'F500 Detail'!D33</f>
        <v>0</v>
      </c>
      <c r="E17" s="6">
        <f>'F500 Detail'!E15+'F500 Detail'!E24+'F500 Detail'!E33</f>
        <v>0</v>
      </c>
      <c r="F17" s="6">
        <f>'F500 Detail'!F15+'F500 Detail'!F24+'F500 Detail'!F33</f>
        <v>0</v>
      </c>
      <c r="G17" s="6">
        <f t="shared" ref="G17:G25" si="1">F17-D17</f>
        <v>0</v>
      </c>
    </row>
    <row r="18" spans="1:7">
      <c r="A18" s="17" t="s">
        <v>15</v>
      </c>
      <c r="B18" s="45">
        <f>'F500 Detail'!B42+'F500 Detail'!B51</f>
        <v>0</v>
      </c>
      <c r="C18" s="45">
        <f>'F500 Detail'!C42+'F500 Detail'!C51</f>
        <v>0</v>
      </c>
      <c r="D18" s="45">
        <f>'F500 Detail'!D42+'F500 Detail'!D51</f>
        <v>0</v>
      </c>
      <c r="E18" s="45">
        <f>'F500 Detail'!E42+'F500 Detail'!E51</f>
        <v>0</v>
      </c>
      <c r="F18" s="45">
        <f>'F500 Detail'!F42+'F500 Detail'!F51</f>
        <v>0</v>
      </c>
      <c r="G18" s="6">
        <f t="shared" si="1"/>
        <v>0</v>
      </c>
    </row>
    <row r="19" spans="1:7">
      <c r="A19" s="17" t="s">
        <v>16</v>
      </c>
      <c r="B19" s="45">
        <f>'F500 Detail'!B60+'F500 Detail'!B69+'F500 Detail'!B78+'F500 Detail'!B87+'F500 Detail'!B96+'F500 Detail'!B105</f>
        <v>0</v>
      </c>
      <c r="C19" s="45">
        <f>'F500 Detail'!C60+'F500 Detail'!C69+'F500 Detail'!C78+'F500 Detail'!C87+'F500 Detail'!C96+'F500 Detail'!C105</f>
        <v>0</v>
      </c>
      <c r="D19" s="45">
        <f>'F500 Detail'!D60+'F500 Detail'!D69+'F500 Detail'!D78+'F500 Detail'!D87+'F500 Detail'!D96+'F500 Detail'!D105</f>
        <v>0</v>
      </c>
      <c r="E19" s="45">
        <f>'F500 Detail'!E60+'F500 Detail'!E69+'F500 Detail'!E78+'F500 Detail'!E87+'F500 Detail'!E96+'F500 Detail'!E105</f>
        <v>0</v>
      </c>
      <c r="F19" s="45">
        <f>'F500 Detail'!F60+'F500 Detail'!F69+'F500 Detail'!F78+'F500 Detail'!F87+'F500 Detail'!F96+'F500 Detail'!F105</f>
        <v>0</v>
      </c>
      <c r="G19" s="6">
        <f t="shared" si="1"/>
        <v>0</v>
      </c>
    </row>
    <row r="20" spans="1:7">
      <c r="A20" s="17" t="s">
        <v>17</v>
      </c>
      <c r="B20" s="45">
        <f>'F500 Detail'!B114</f>
        <v>0</v>
      </c>
      <c r="C20" s="45">
        <f>'F500 Detail'!C114</f>
        <v>0</v>
      </c>
      <c r="D20" s="45">
        <f>'F500 Detail'!D114</f>
        <v>0</v>
      </c>
      <c r="E20" s="45">
        <f>'F500 Detail'!E114</f>
        <v>0</v>
      </c>
      <c r="F20" s="45">
        <f>'F500 Detail'!F114</f>
        <v>0</v>
      </c>
      <c r="G20" s="6">
        <f t="shared" si="1"/>
        <v>0</v>
      </c>
    </row>
    <row r="21" spans="1:7">
      <c r="A21" s="8" t="s">
        <v>54</v>
      </c>
      <c r="B21" s="45">
        <f>'F500 Detail'!B123+'F500 Detail'!B132+'F500 Detail'!B141</f>
        <v>0</v>
      </c>
      <c r="C21" s="45">
        <f>'F500 Detail'!C123+'F500 Detail'!C132+'F500 Detail'!C141</f>
        <v>0</v>
      </c>
      <c r="D21" s="45">
        <f>'F500 Detail'!D123+'F500 Detail'!D132+'F500 Detail'!D141</f>
        <v>0</v>
      </c>
      <c r="E21" s="45">
        <f>'F500 Detail'!E123+'F500 Detail'!E132+'F500 Detail'!E141</f>
        <v>0</v>
      </c>
      <c r="F21" s="45">
        <f>'F500 Detail'!F123+'F500 Detail'!F132+'F500 Detail'!F141</f>
        <v>0</v>
      </c>
      <c r="G21" s="6">
        <f t="shared" si="1"/>
        <v>0</v>
      </c>
    </row>
    <row r="22" spans="1:7">
      <c r="A22" s="17" t="s">
        <v>19</v>
      </c>
      <c r="B22" s="45">
        <f>'F500 Detail'!B150</f>
        <v>0</v>
      </c>
      <c r="C22" s="45">
        <f>'F500 Detail'!C150</f>
        <v>0</v>
      </c>
      <c r="D22" s="45">
        <f>'F500 Detail'!D150</f>
        <v>0</v>
      </c>
      <c r="E22" s="45">
        <f>'F500 Detail'!E150</f>
        <v>0</v>
      </c>
      <c r="F22" s="45">
        <f>'F500 Detail'!F150</f>
        <v>0</v>
      </c>
      <c r="G22" s="6">
        <f t="shared" si="1"/>
        <v>0</v>
      </c>
    </row>
    <row r="23" spans="1:7">
      <c r="A23" s="8" t="s">
        <v>58</v>
      </c>
      <c r="B23" s="6">
        <f>'F500 Detail'!B159</f>
        <v>57124003</v>
      </c>
      <c r="C23" s="6">
        <f>'F500 Detail'!C159</f>
        <v>66494379</v>
      </c>
      <c r="D23" s="6">
        <f>'F500 Detail'!D159</f>
        <v>67302595</v>
      </c>
      <c r="E23" s="6">
        <f>'F500 Detail'!E159</f>
        <v>78664435</v>
      </c>
      <c r="F23" s="6">
        <f>'F500 Detail'!F159</f>
        <v>83484994</v>
      </c>
      <c r="G23" s="6">
        <f t="shared" si="1"/>
        <v>16182399</v>
      </c>
    </row>
    <row r="24" spans="1:7">
      <c r="A24" s="17" t="s">
        <v>21</v>
      </c>
      <c r="B24" s="45">
        <f>'F500 Detail'!B168</f>
        <v>0</v>
      </c>
      <c r="C24" s="45">
        <f>'F500 Detail'!C168</f>
        <v>0</v>
      </c>
      <c r="D24" s="45">
        <f>'F500 Detail'!D168</f>
        <v>0</v>
      </c>
      <c r="E24" s="45">
        <f>'F500 Detail'!E168</f>
        <v>0</v>
      </c>
      <c r="F24" s="45">
        <f>'F500 Detail'!F168</f>
        <v>0</v>
      </c>
      <c r="G24" s="6">
        <f t="shared" si="1"/>
        <v>0</v>
      </c>
    </row>
    <row r="25" spans="1:7" ht="17.25">
      <c r="A25" s="17" t="s">
        <v>22</v>
      </c>
      <c r="B25" s="19">
        <f>'F500 Detail'!B177+'F500 Detail'!B186+'F500 Detail'!B195+'F500 Detail'!B204+'F500 Detail'!B213</f>
        <v>0</v>
      </c>
      <c r="C25" s="19">
        <f>'F500 Detail'!C177+'F500 Detail'!C186+'F500 Detail'!C195+'F500 Detail'!C204+'F500 Detail'!C213</f>
        <v>0</v>
      </c>
      <c r="D25" s="19">
        <f>'F500 Detail'!D177+'F500 Detail'!D186+'F500 Detail'!D195+'F500 Detail'!D204+'F500 Detail'!D213</f>
        <v>0</v>
      </c>
      <c r="E25" s="19">
        <f>'F500 Detail'!E177+'F500 Detail'!E186+'F500 Detail'!E195+'F500 Detail'!E204+'F500 Detail'!E213</f>
        <v>0</v>
      </c>
      <c r="F25" s="19">
        <f>'F500 Detail'!F177+'F500 Detail'!F186+'F500 Detail'!F195+'F500 Detail'!F204+'F500 Detail'!F213</f>
        <v>0</v>
      </c>
      <c r="G25" s="19">
        <f t="shared" si="1"/>
        <v>0</v>
      </c>
    </row>
    <row r="26" spans="1:7">
      <c r="A26" s="17"/>
      <c r="B26" s="17"/>
      <c r="C26" s="17"/>
      <c r="D26" s="42"/>
      <c r="E26" s="42"/>
      <c r="F26" s="42"/>
      <c r="G26" s="17"/>
    </row>
    <row r="27" spans="1:7" ht="17.25">
      <c r="A27" s="17" t="s">
        <v>23</v>
      </c>
      <c r="B27" s="20">
        <f t="shared" ref="B27:G27" si="2">SUM(B17:B25)</f>
        <v>57124003</v>
      </c>
      <c r="C27" s="20">
        <f t="shared" si="2"/>
        <v>66494379</v>
      </c>
      <c r="D27" s="20">
        <f t="shared" si="2"/>
        <v>67302595</v>
      </c>
      <c r="E27" s="20">
        <f t="shared" si="2"/>
        <v>78664435</v>
      </c>
      <c r="F27" s="20">
        <f t="shared" si="2"/>
        <v>83484994</v>
      </c>
      <c r="G27" s="20">
        <f t="shared" si="2"/>
        <v>16182399</v>
      </c>
    </row>
    <row r="28" spans="1:7">
      <c r="A28" s="17"/>
      <c r="B28" s="17"/>
      <c r="C28" s="42"/>
      <c r="D28" s="42"/>
      <c r="E28" s="42"/>
      <c r="F28" s="42"/>
      <c r="G28" s="17"/>
    </row>
    <row r="29" spans="1:7">
      <c r="A29" s="17" t="s">
        <v>24</v>
      </c>
      <c r="B29" s="17"/>
      <c r="C29" s="42"/>
      <c r="D29" s="42"/>
      <c r="E29" s="42"/>
      <c r="F29" s="42"/>
      <c r="G29" s="17"/>
    </row>
    <row r="30" spans="1:7">
      <c r="A30" s="17" t="s">
        <v>25</v>
      </c>
      <c r="B30" s="17">
        <f>+B13-B27</f>
        <v>-773343</v>
      </c>
      <c r="C30" s="17">
        <f>+C13-C27</f>
        <v>2560853</v>
      </c>
      <c r="D30" s="17">
        <f>+D13-D27</f>
        <v>13443453</v>
      </c>
      <c r="E30" s="17">
        <f>+E13-E27</f>
        <v>-3676122.5</v>
      </c>
      <c r="F30" s="17">
        <f>+F13-F27</f>
        <v>3415006</v>
      </c>
      <c r="G30" s="6">
        <f>F30-D30</f>
        <v>-10028447</v>
      </c>
    </row>
    <row r="31" spans="1:7">
      <c r="A31" s="17"/>
      <c r="B31" s="17"/>
      <c r="C31" s="17"/>
      <c r="D31" s="42"/>
      <c r="E31" s="42"/>
      <c r="F31" s="42"/>
      <c r="G31" s="6"/>
    </row>
    <row r="32" spans="1:7">
      <c r="A32" s="17" t="s">
        <v>26</v>
      </c>
      <c r="B32" s="6">
        <f>64870000+11217799</f>
        <v>76087799</v>
      </c>
      <c r="C32" s="6">
        <f>30290000+4390701</f>
        <v>34680701</v>
      </c>
      <c r="D32" s="6">
        <v>0</v>
      </c>
      <c r="E32" s="6">
        <f>0</f>
        <v>0</v>
      </c>
      <c r="F32" s="6">
        <f>0</f>
        <v>0</v>
      </c>
      <c r="G32" s="6">
        <f>F32-D32</f>
        <v>0</v>
      </c>
    </row>
    <row r="33" spans="1:7" ht="17.25">
      <c r="A33" s="17" t="s">
        <v>27</v>
      </c>
      <c r="B33" s="55">
        <v>-75455925</v>
      </c>
      <c r="C33" s="55">
        <f>-34329910</f>
        <v>-34329910</v>
      </c>
      <c r="D33" s="55">
        <v>0</v>
      </c>
      <c r="E33" s="55">
        <f>0</f>
        <v>0</v>
      </c>
      <c r="F33" s="55">
        <f>0</f>
        <v>0</v>
      </c>
      <c r="G33" s="19">
        <f>F33-D33</f>
        <v>0</v>
      </c>
    </row>
    <row r="34" spans="1:7">
      <c r="A34" s="17"/>
      <c r="B34" s="17"/>
      <c r="C34" s="17"/>
      <c r="D34" s="17"/>
      <c r="E34" s="42"/>
      <c r="F34" s="42"/>
      <c r="G34" s="17"/>
    </row>
    <row r="35" spans="1:7">
      <c r="A35" s="21"/>
      <c r="B35" s="21"/>
      <c r="C35" s="21"/>
      <c r="D35" s="21"/>
      <c r="E35" s="46"/>
      <c r="F35" s="46"/>
      <c r="G35" s="21"/>
    </row>
    <row r="36" spans="1:7">
      <c r="A36" s="17" t="s">
        <v>28</v>
      </c>
      <c r="B36" s="17"/>
      <c r="C36" s="17"/>
      <c r="D36" s="17"/>
      <c r="E36" s="42"/>
      <c r="F36" s="42"/>
      <c r="G36" s="17"/>
    </row>
    <row r="37" spans="1:7">
      <c r="A37" s="17" t="s">
        <v>29</v>
      </c>
      <c r="B37" s="17">
        <f>SUM(B30:B33)</f>
        <v>-141469</v>
      </c>
      <c r="C37" s="17">
        <f>SUM(C30:C33)</f>
        <v>2911644</v>
      </c>
      <c r="D37" s="17">
        <f>SUM(D30:D33)</f>
        <v>13443453</v>
      </c>
      <c r="E37" s="17">
        <f>SUM(E30:E33)</f>
        <v>-3676122.5</v>
      </c>
      <c r="F37" s="17">
        <f>SUM(F30:F33)</f>
        <v>3415006</v>
      </c>
      <c r="G37" s="6">
        <f>F37-D37</f>
        <v>-10028447</v>
      </c>
    </row>
    <row r="38" spans="1:7">
      <c r="A38" s="17"/>
      <c r="B38" s="17"/>
      <c r="C38" s="17"/>
      <c r="D38" s="17"/>
      <c r="E38" s="42"/>
      <c r="F38" s="42"/>
      <c r="G38" s="17"/>
    </row>
    <row r="39" spans="1:7">
      <c r="A39" s="17" t="s">
        <v>30</v>
      </c>
      <c r="B39" s="17">
        <v>39323668</v>
      </c>
      <c r="C39" s="17">
        <f>B43</f>
        <v>39182199</v>
      </c>
      <c r="D39" s="17">
        <f>C43</f>
        <v>42093843</v>
      </c>
      <c r="E39" s="17">
        <f>D43</f>
        <v>55537296</v>
      </c>
      <c r="F39" s="17">
        <f>E43</f>
        <v>51861173.5</v>
      </c>
      <c r="G39" s="6">
        <f>F39-D39</f>
        <v>9767330.5</v>
      </c>
    </row>
    <row r="40" spans="1:7">
      <c r="A40" s="17"/>
      <c r="B40" s="17"/>
      <c r="C40" s="17"/>
      <c r="D40" s="17"/>
      <c r="E40" s="42"/>
      <c r="F40" s="42"/>
      <c r="G40" s="17"/>
    </row>
    <row r="41" spans="1:7" ht="17.25">
      <c r="A41" s="17" t="s">
        <v>31</v>
      </c>
      <c r="B41" s="20">
        <v>0</v>
      </c>
      <c r="C41" s="20">
        <f>0</f>
        <v>0</v>
      </c>
      <c r="D41" s="44">
        <f>0</f>
        <v>0</v>
      </c>
      <c r="E41" s="44">
        <f>0</f>
        <v>0</v>
      </c>
      <c r="F41" s="44">
        <f>0</f>
        <v>0</v>
      </c>
      <c r="G41" s="19">
        <f>F41-D41</f>
        <v>0</v>
      </c>
    </row>
    <row r="42" spans="1:7">
      <c r="A42" s="17"/>
      <c r="B42" s="17"/>
      <c r="C42" s="17"/>
      <c r="D42" s="17"/>
      <c r="E42" s="42"/>
      <c r="F42" s="42"/>
      <c r="G42" s="17"/>
    </row>
    <row r="43" spans="1:7" ht="17.25">
      <c r="A43" s="16" t="s">
        <v>68</v>
      </c>
      <c r="B43" s="20">
        <f t="shared" ref="B43:G43" si="3">SUM(B37:B41)</f>
        <v>39182199</v>
      </c>
      <c r="C43" s="20">
        <f t="shared" si="3"/>
        <v>42093843</v>
      </c>
      <c r="D43" s="20">
        <f t="shared" si="3"/>
        <v>55537296</v>
      </c>
      <c r="E43" s="20">
        <f t="shared" si="3"/>
        <v>51861173.5</v>
      </c>
      <c r="F43" s="20">
        <f t="shared" si="3"/>
        <v>55276179.5</v>
      </c>
      <c r="G43" s="22">
        <f t="shared" si="3"/>
        <v>-261116.5</v>
      </c>
    </row>
    <row r="44" spans="1:7">
      <c r="A44" s="17"/>
      <c r="B44" s="17"/>
      <c r="C44" s="17"/>
      <c r="D44" s="17"/>
      <c r="E44" s="17"/>
      <c r="F44" s="17"/>
      <c r="G44" s="17"/>
    </row>
    <row r="45" spans="1:7">
      <c r="A45" s="23"/>
      <c r="B45" s="23"/>
      <c r="C45" s="5"/>
      <c r="D45" s="5"/>
      <c r="E45" s="5"/>
      <c r="F45" s="5"/>
      <c r="G45" s="5"/>
    </row>
    <row r="46" spans="1:7">
      <c r="A46" s="23"/>
      <c r="B46" s="23"/>
      <c r="C46" s="5"/>
      <c r="D46" s="5"/>
      <c r="E46" s="5"/>
      <c r="F46" s="5"/>
      <c r="G46" s="5"/>
    </row>
    <row r="47" spans="1:7">
      <c r="A47" s="23"/>
      <c r="B47" s="23"/>
      <c r="C47" s="5"/>
      <c r="D47" s="5"/>
      <c r="E47" s="5"/>
      <c r="F47" s="5"/>
      <c r="G47" s="5"/>
    </row>
    <row r="48" spans="1:7">
      <c r="A48" s="23"/>
      <c r="B48" s="23"/>
      <c r="C48" s="5"/>
      <c r="D48" s="5"/>
      <c r="E48" s="5"/>
      <c r="F48" s="5"/>
      <c r="G48" s="5"/>
    </row>
    <row r="49" spans="1:7">
      <c r="A49" s="23"/>
      <c r="B49" s="23"/>
      <c r="C49" s="17"/>
      <c r="D49" s="17"/>
      <c r="E49" s="17"/>
      <c r="F49" s="17"/>
      <c r="G49" s="17"/>
    </row>
    <row r="50" spans="1:7">
      <c r="A50" s="23"/>
      <c r="B50" s="23"/>
      <c r="C50" s="17"/>
      <c r="D50" s="24"/>
      <c r="E50" s="5"/>
      <c r="F50" s="5"/>
      <c r="G50" s="5"/>
    </row>
    <row r="51" spans="1:7">
      <c r="A51" s="23"/>
      <c r="B51" s="23"/>
      <c r="C51" s="24"/>
      <c r="D51" s="24"/>
      <c r="E51" s="24"/>
      <c r="F51" s="24"/>
      <c r="G51" s="24"/>
    </row>
    <row r="52" spans="1:7">
      <c r="A52" s="23"/>
      <c r="B52" s="23"/>
      <c r="C52" s="17"/>
      <c r="D52" s="17"/>
      <c r="E52" s="17"/>
      <c r="F52" s="17"/>
      <c r="G52" s="17"/>
    </row>
    <row r="53" spans="1:7">
      <c r="C53" s="8"/>
      <c r="D53" s="8"/>
      <c r="E53" s="8"/>
      <c r="F53" s="8"/>
      <c r="G53" s="8"/>
    </row>
    <row r="54" spans="1:7">
      <c r="C54" s="8"/>
      <c r="D54" s="8"/>
      <c r="E54" s="8"/>
      <c r="F54" s="8"/>
      <c r="G54" s="8"/>
    </row>
    <row r="55" spans="1:7"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3"/>
      <c r="B72" s="3"/>
      <c r="C72" s="3"/>
      <c r="D72" s="3"/>
      <c r="E72" s="3"/>
      <c r="F72" s="3"/>
      <c r="G72" s="3"/>
    </row>
    <row r="73" spans="1:7">
      <c r="A73" s="3"/>
      <c r="B73" s="3"/>
      <c r="C73" s="3"/>
      <c r="D73" s="3"/>
      <c r="E73" s="3"/>
      <c r="F73" s="3"/>
      <c r="G73" s="3"/>
    </row>
    <row r="74" spans="1:7">
      <c r="A74" s="3"/>
      <c r="B74" s="3"/>
      <c r="C74" s="3"/>
      <c r="D74" s="3"/>
      <c r="E74" s="3"/>
      <c r="F74" s="3"/>
      <c r="G74" s="3"/>
    </row>
    <row r="75" spans="1:7">
      <c r="A75" s="3"/>
      <c r="B75" s="3"/>
      <c r="C75" s="3"/>
      <c r="D75" s="3"/>
      <c r="E75" s="3"/>
      <c r="F75" s="3"/>
      <c r="G75" s="3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11"/>
      <c r="E77" s="11"/>
      <c r="F77" s="3"/>
      <c r="G77" s="3"/>
    </row>
    <row r="78" spans="1:7">
      <c r="A78" s="8"/>
      <c r="B78" s="8"/>
      <c r="C78" s="11"/>
      <c r="D78" s="11"/>
      <c r="E78" s="11"/>
      <c r="F78" s="11"/>
      <c r="G78" s="11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8"/>
      <c r="D88" s="8"/>
      <c r="E88" s="8"/>
      <c r="F88" s="8"/>
      <c r="G88" s="8"/>
    </row>
    <row r="89" spans="1:7">
      <c r="A89" s="12"/>
      <c r="B89" s="12"/>
      <c r="C89" s="12"/>
      <c r="D89" s="12"/>
      <c r="E89" s="12"/>
      <c r="F89" s="12"/>
      <c r="G89" s="12"/>
    </row>
    <row r="90" spans="1:7">
      <c r="A90" s="8"/>
      <c r="B90" s="8"/>
      <c r="C90" s="8"/>
      <c r="D90" s="8"/>
      <c r="E90" s="8"/>
      <c r="F90" s="8"/>
      <c r="G90" s="8"/>
    </row>
    <row r="91" spans="1:7">
      <c r="A91" s="8"/>
      <c r="B91" s="8"/>
      <c r="C91" s="8"/>
      <c r="D91" s="8"/>
      <c r="E91" s="8"/>
      <c r="F91" s="8"/>
      <c r="G91" s="8"/>
    </row>
    <row r="92" spans="1:7">
      <c r="A92" s="8"/>
      <c r="B92" s="8"/>
      <c r="C92" s="13"/>
      <c r="D92" s="13"/>
      <c r="E92" s="13"/>
      <c r="F92" s="8"/>
      <c r="G92" s="8"/>
    </row>
    <row r="93" spans="1:7">
      <c r="A93" s="8"/>
      <c r="B93" s="8"/>
      <c r="C93" s="13"/>
      <c r="D93" s="8"/>
      <c r="E93" s="8"/>
      <c r="F93" s="8"/>
      <c r="G93" s="8"/>
    </row>
    <row r="94" spans="1:7">
      <c r="A94" s="8"/>
      <c r="B94" s="8"/>
      <c r="C94" s="13"/>
      <c r="D94" s="8"/>
      <c r="E94" s="8"/>
      <c r="F94" s="8"/>
      <c r="G94" s="8"/>
    </row>
    <row r="95" spans="1:7">
      <c r="A95" s="8"/>
      <c r="B95" s="8"/>
      <c r="C95" s="13"/>
      <c r="D95" s="8"/>
      <c r="E95" s="8"/>
      <c r="F95" s="8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13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13"/>
      <c r="D103" s="8"/>
      <c r="E103" s="8"/>
      <c r="F103" s="8"/>
      <c r="G103" s="8"/>
    </row>
    <row r="104" spans="1:7">
      <c r="A104" s="8"/>
      <c r="B104" s="8"/>
      <c r="C104" s="13"/>
      <c r="D104" s="8"/>
      <c r="E104" s="8"/>
      <c r="F104" s="8"/>
      <c r="G104" s="8"/>
    </row>
    <row r="105" spans="1:7">
      <c r="A105" s="8"/>
      <c r="B105" s="8"/>
      <c r="C105" s="13"/>
      <c r="D105" s="13"/>
      <c r="E105" s="13"/>
      <c r="F105" s="8"/>
      <c r="G105" s="8"/>
    </row>
    <row r="106" spans="1:7">
      <c r="A106" s="8"/>
      <c r="B106" s="8"/>
      <c r="C106" s="13"/>
      <c r="D106" s="8"/>
      <c r="E106" s="8"/>
      <c r="F106" s="8"/>
      <c r="G106" s="8"/>
    </row>
    <row r="107" spans="1:7">
      <c r="A107" s="8"/>
      <c r="B107" s="8"/>
      <c r="C107" s="13"/>
      <c r="D107" s="13"/>
      <c r="E107" s="13"/>
      <c r="F107" s="8"/>
      <c r="G107" s="8"/>
    </row>
  </sheetData>
  <mergeCells count="4">
    <mergeCell ref="A4:F4"/>
    <mergeCell ref="A1:F1"/>
    <mergeCell ref="A2:F2"/>
    <mergeCell ref="A3:F3"/>
  </mergeCells>
  <phoneticPr fontId="13" type="noConversion"/>
  <pageMargins left="0.75" right="0.5" top="1" bottom="0.5" header="0.5" footer="0.5"/>
  <pageSetup scale="89" orientation="portrait" horizontalDpi="4294967295" verticalDpi="4294967295" r:id="rId1"/>
  <headerFooter alignWithMargins="0"/>
  <rowBreaks count="1" manualBreakCount="1">
    <brk id="71" max="6553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J206"/>
  <sheetViews>
    <sheetView workbookViewId="0">
      <selection activeCell="A2" sqref="A2:J2"/>
    </sheetView>
  </sheetViews>
  <sheetFormatPr defaultColWidth="5.7109375" defaultRowHeight="15"/>
  <cols>
    <col min="1" max="1" width="42.28515625" style="4" customWidth="1"/>
    <col min="2" max="6" width="12.28515625" style="4" customWidth="1"/>
    <col min="7" max="7" width="7.28515625" style="4" hidden="1" customWidth="1"/>
    <col min="8" max="10" width="12.28515625" style="4" customWidth="1"/>
    <col min="11" max="16384" width="5.7109375" style="4"/>
  </cols>
  <sheetData>
    <row r="1" spans="1:10" s="29" customFormat="1" ht="15.7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29" customFormat="1" ht="15.7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29" customFormat="1" ht="15.75">
      <c r="A3" s="213" t="s">
        <v>184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29" customFormat="1" ht="15.75">
      <c r="A4" s="211" t="s">
        <v>182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9" customFormat="1" ht="15.75">
      <c r="A5" s="31"/>
      <c r="B5" s="31"/>
      <c r="C5" s="31"/>
      <c r="D5" s="202"/>
      <c r="E5" s="202"/>
      <c r="F5" s="202"/>
      <c r="G5" s="31"/>
    </row>
    <row r="6" spans="1:10" s="29" customFormat="1" ht="15.75">
      <c r="A6" s="32"/>
      <c r="B6" s="203" t="s">
        <v>2</v>
      </c>
      <c r="C6" s="203" t="s">
        <v>2</v>
      </c>
      <c r="D6" s="203" t="s">
        <v>2</v>
      </c>
      <c r="E6" s="213" t="s">
        <v>176</v>
      </c>
      <c r="F6" s="213"/>
      <c r="G6" s="203" t="s">
        <v>4</v>
      </c>
      <c r="H6" s="208" t="s">
        <v>167</v>
      </c>
      <c r="I6" s="208"/>
      <c r="J6" s="208"/>
    </row>
    <row r="7" spans="1:10" s="29" customFormat="1" ht="20.2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  <c r="H7" s="185" t="s">
        <v>177</v>
      </c>
      <c r="I7" s="185" t="s">
        <v>178</v>
      </c>
      <c r="J7" s="185" t="s">
        <v>179</v>
      </c>
    </row>
    <row r="8" spans="1:10">
      <c r="A8" s="16" t="s">
        <v>7</v>
      </c>
      <c r="B8" s="17"/>
      <c r="C8" s="17"/>
      <c r="D8" s="17"/>
      <c r="E8" s="17"/>
      <c r="F8" s="17"/>
      <c r="G8" s="17"/>
    </row>
    <row r="9" spans="1:10">
      <c r="A9" s="17" t="s">
        <v>8</v>
      </c>
      <c r="B9" s="17">
        <v>55397177</v>
      </c>
      <c r="C9" s="17">
        <v>68223912</v>
      </c>
      <c r="D9" s="17">
        <v>79959727</v>
      </c>
      <c r="E9" s="17">
        <v>75988313</v>
      </c>
      <c r="F9" s="17">
        <v>86900000</v>
      </c>
      <c r="G9" s="18"/>
      <c r="H9" s="4">
        <f>+F9*1.1</f>
        <v>95590000.000000015</v>
      </c>
      <c r="I9" s="4">
        <f>+H9*1.1</f>
        <v>105149000.00000003</v>
      </c>
      <c r="J9" s="4">
        <f>+I9*1.1</f>
        <v>115663900.00000004</v>
      </c>
    </row>
    <row r="10" spans="1:10">
      <c r="A10" s="17" t="s">
        <v>9</v>
      </c>
      <c r="B10" s="6">
        <v>953483</v>
      </c>
      <c r="C10" s="6">
        <v>831320</v>
      </c>
      <c r="D10" s="6">
        <v>786321</v>
      </c>
      <c r="E10" s="6">
        <v>0</v>
      </c>
      <c r="F10" s="6"/>
      <c r="G10" s="6"/>
    </row>
    <row r="11" spans="1:10" ht="17.25">
      <c r="A11" s="17" t="s">
        <v>10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19"/>
      <c r="H11" s="57">
        <v>0</v>
      </c>
      <c r="I11" s="204">
        <v>0</v>
      </c>
      <c r="J11" s="57">
        <v>0</v>
      </c>
    </row>
    <row r="12" spans="1:10">
      <c r="A12" s="17"/>
      <c r="B12" s="17"/>
      <c r="C12" s="17"/>
      <c r="D12" s="17"/>
      <c r="E12" s="17"/>
      <c r="F12" s="17"/>
      <c r="G12" s="17"/>
    </row>
    <row r="13" spans="1:10" ht="17.25">
      <c r="A13" s="17" t="s">
        <v>11</v>
      </c>
      <c r="B13" s="20">
        <f t="shared" ref="B13:J13" si="0">SUM(B9:B11)</f>
        <v>56350660</v>
      </c>
      <c r="C13" s="20">
        <f t="shared" si="0"/>
        <v>69055232</v>
      </c>
      <c r="D13" s="20">
        <f t="shared" si="0"/>
        <v>80746048</v>
      </c>
      <c r="E13" s="20">
        <f t="shared" si="0"/>
        <v>75988313</v>
      </c>
      <c r="F13" s="20">
        <f t="shared" si="0"/>
        <v>86900000</v>
      </c>
      <c r="G13" s="20">
        <f t="shared" si="0"/>
        <v>0</v>
      </c>
      <c r="H13" s="57">
        <f t="shared" si="0"/>
        <v>95590000.000000015</v>
      </c>
      <c r="I13" s="57">
        <f t="shared" si="0"/>
        <v>105149000.00000003</v>
      </c>
      <c r="J13" s="57">
        <f t="shared" si="0"/>
        <v>115663900.00000004</v>
      </c>
    </row>
    <row r="14" spans="1:10">
      <c r="A14" s="17"/>
      <c r="B14" s="42"/>
      <c r="C14" s="17"/>
      <c r="D14" s="17"/>
      <c r="E14" s="17"/>
      <c r="F14" s="17"/>
      <c r="G14" s="17"/>
    </row>
    <row r="15" spans="1:10">
      <c r="A15" s="16" t="s">
        <v>12</v>
      </c>
      <c r="B15" s="42"/>
      <c r="C15" s="17"/>
      <c r="D15" s="17"/>
      <c r="E15" s="17"/>
      <c r="F15" s="17"/>
      <c r="G15" s="17"/>
    </row>
    <row r="16" spans="1:10">
      <c r="A16" s="17" t="s">
        <v>13</v>
      </c>
      <c r="B16" s="42"/>
      <c r="C16" s="17"/>
      <c r="D16" s="17"/>
      <c r="E16" s="17"/>
      <c r="F16" s="17"/>
      <c r="G16" s="17"/>
    </row>
    <row r="17" spans="1:10">
      <c r="A17" s="17" t="s">
        <v>14</v>
      </c>
      <c r="B17" s="6"/>
      <c r="C17" s="6"/>
      <c r="D17" s="6"/>
      <c r="E17" s="6"/>
      <c r="F17" s="6"/>
      <c r="G17" s="6">
        <f t="shared" ref="G17:G19" si="1">F17-D17</f>
        <v>0</v>
      </c>
    </row>
    <row r="18" spans="1:10">
      <c r="A18" s="17" t="s">
        <v>15</v>
      </c>
      <c r="B18" s="6"/>
      <c r="C18" s="6"/>
      <c r="D18" s="6"/>
      <c r="E18" s="6"/>
      <c r="F18" s="6"/>
      <c r="G18" s="6">
        <f t="shared" si="1"/>
        <v>0</v>
      </c>
    </row>
    <row r="19" spans="1:10">
      <c r="A19" s="17" t="s">
        <v>16</v>
      </c>
      <c r="B19" s="6"/>
      <c r="C19" s="6"/>
      <c r="D19" s="6"/>
      <c r="E19" s="6"/>
      <c r="F19" s="6"/>
      <c r="G19" s="6">
        <f t="shared" si="1"/>
        <v>0</v>
      </c>
    </row>
    <row r="20" spans="1:10">
      <c r="A20" s="17" t="s">
        <v>17</v>
      </c>
      <c r="B20" s="17"/>
      <c r="C20" s="17"/>
      <c r="D20" s="17"/>
      <c r="E20" s="17"/>
      <c r="F20" s="17"/>
      <c r="G20" s="17"/>
    </row>
    <row r="21" spans="1:10">
      <c r="A21" s="8" t="s">
        <v>54</v>
      </c>
      <c r="B21" s="17"/>
      <c r="C21" s="17"/>
      <c r="D21" s="17"/>
      <c r="E21" s="17"/>
      <c r="F21" s="17"/>
      <c r="G21" s="17"/>
    </row>
    <row r="22" spans="1:10">
      <c r="A22" s="17" t="s">
        <v>19</v>
      </c>
      <c r="B22" s="17"/>
      <c r="C22" s="17"/>
      <c r="D22" s="17"/>
      <c r="E22" s="17"/>
      <c r="F22" s="17"/>
      <c r="G22" s="17"/>
    </row>
    <row r="23" spans="1:10">
      <c r="A23" s="8" t="s">
        <v>58</v>
      </c>
      <c r="B23" s="17"/>
      <c r="C23" s="17"/>
      <c r="D23" s="17"/>
      <c r="E23" s="17"/>
      <c r="F23" s="17"/>
      <c r="G23" s="17"/>
    </row>
    <row r="24" spans="1:10">
      <c r="A24" s="12" t="s">
        <v>35</v>
      </c>
      <c r="B24" s="17"/>
      <c r="C24" s="17"/>
      <c r="D24" s="17"/>
      <c r="E24" s="17"/>
      <c r="F24" s="17"/>
      <c r="G24" s="17"/>
    </row>
    <row r="25" spans="1:10">
      <c r="A25" s="12" t="s">
        <v>36</v>
      </c>
      <c r="B25" s="17"/>
      <c r="C25" s="17"/>
      <c r="D25" s="17"/>
      <c r="E25" s="17"/>
      <c r="F25" s="17"/>
      <c r="G25" s="17"/>
    </row>
    <row r="26" spans="1:10">
      <c r="A26" s="12" t="s">
        <v>37</v>
      </c>
      <c r="B26" s="17"/>
      <c r="C26" s="17"/>
      <c r="D26" s="17"/>
      <c r="E26" s="17"/>
      <c r="F26" s="17"/>
      <c r="G26" s="17"/>
    </row>
    <row r="27" spans="1:10">
      <c r="A27" s="12" t="s">
        <v>38</v>
      </c>
      <c r="B27" s="17"/>
      <c r="C27" s="17"/>
      <c r="D27" s="17"/>
      <c r="E27" s="17"/>
      <c r="F27" s="17"/>
      <c r="G27" s="17"/>
    </row>
    <row r="28" spans="1:10">
      <c r="A28" s="12" t="s">
        <v>39</v>
      </c>
      <c r="B28" s="17">
        <v>57124003</v>
      </c>
      <c r="C28" s="17">
        <v>66494379</v>
      </c>
      <c r="D28" s="17">
        <v>67302595</v>
      </c>
      <c r="E28" s="17">
        <v>79664436</v>
      </c>
      <c r="F28" s="17">
        <v>83484994</v>
      </c>
      <c r="G28" s="17"/>
      <c r="H28" s="4">
        <v>78256140.310000002</v>
      </c>
      <c r="I28" s="4">
        <v>74550484.060000002</v>
      </c>
      <c r="J28" s="4">
        <v>76103809.060000002</v>
      </c>
    </row>
    <row r="29" spans="1:10">
      <c r="A29" s="12" t="s">
        <v>40</v>
      </c>
      <c r="B29" s="17"/>
      <c r="C29" s="17"/>
      <c r="D29" s="17"/>
      <c r="E29" s="17"/>
      <c r="F29" s="17"/>
      <c r="G29" s="17"/>
    </row>
    <row r="30" spans="1:10">
      <c r="A30" s="17" t="s">
        <v>21</v>
      </c>
      <c r="B30" s="17"/>
      <c r="C30" s="17"/>
      <c r="D30" s="17"/>
      <c r="E30" s="17"/>
      <c r="F30" s="17"/>
      <c r="G30" s="6"/>
    </row>
    <row r="31" spans="1:10">
      <c r="A31" s="17" t="s">
        <v>22</v>
      </c>
      <c r="B31" s="17"/>
      <c r="C31" s="17"/>
      <c r="D31" s="17"/>
      <c r="E31" s="17"/>
      <c r="F31" s="17"/>
      <c r="G31" s="6"/>
    </row>
    <row r="32" spans="1:10">
      <c r="A32" s="17"/>
      <c r="B32" s="6"/>
      <c r="C32" s="6"/>
      <c r="D32" s="6"/>
      <c r="E32" s="6"/>
      <c r="F32" s="6"/>
      <c r="G32" s="6"/>
    </row>
    <row r="33" spans="1:10" ht="17.25">
      <c r="A33" s="17" t="s">
        <v>23</v>
      </c>
      <c r="B33" s="19">
        <f>SUM(B16:B31)</f>
        <v>57124003</v>
      </c>
      <c r="C33" s="19">
        <f>SUM(C16:C31)</f>
        <v>66494379</v>
      </c>
      <c r="D33" s="19">
        <f>SUM(D16:D31)</f>
        <v>67302595</v>
      </c>
      <c r="E33" s="19">
        <f>SUM(E16:E31)</f>
        <v>79664436</v>
      </c>
      <c r="F33" s="19">
        <f>SUM(F16:F31)</f>
        <v>83484994</v>
      </c>
      <c r="G33" s="19">
        <f>F33-D33</f>
        <v>16182399</v>
      </c>
      <c r="H33" s="57">
        <f>SUM(H16:H31)</f>
        <v>78256140.310000002</v>
      </c>
      <c r="I33" s="57">
        <f>SUM(I16:I31)</f>
        <v>74550484.060000002</v>
      </c>
      <c r="J33" s="57">
        <f>SUM(J16:J31)</f>
        <v>76103809.060000002</v>
      </c>
    </row>
    <row r="34" spans="1:10">
      <c r="A34" s="17"/>
      <c r="B34" s="17"/>
      <c r="C34" s="17"/>
      <c r="D34" s="17"/>
      <c r="E34" s="17"/>
      <c r="F34" s="17"/>
      <c r="G34" s="17"/>
    </row>
    <row r="35" spans="1:10">
      <c r="A35" s="17" t="s">
        <v>24</v>
      </c>
      <c r="B35" s="21">
        <f t="shared" ref="B35:J35" si="2">+B13-B33</f>
        <v>-773343</v>
      </c>
      <c r="C35" s="21">
        <f t="shared" si="2"/>
        <v>2560853</v>
      </c>
      <c r="D35" s="21">
        <f t="shared" si="2"/>
        <v>13443453</v>
      </c>
      <c r="E35" s="21">
        <f t="shared" si="2"/>
        <v>-3676123</v>
      </c>
      <c r="F35" s="21">
        <f t="shared" si="2"/>
        <v>3415006</v>
      </c>
      <c r="G35" s="21">
        <f t="shared" si="2"/>
        <v>-16182399</v>
      </c>
      <c r="H35" s="4">
        <f t="shared" si="2"/>
        <v>17333859.690000013</v>
      </c>
      <c r="I35" s="4">
        <f t="shared" si="2"/>
        <v>30598515.940000027</v>
      </c>
      <c r="J35" s="4">
        <f t="shared" si="2"/>
        <v>39560090.940000042</v>
      </c>
    </row>
    <row r="36" spans="1:10">
      <c r="A36" s="17" t="s">
        <v>25</v>
      </c>
      <c r="B36" s="17"/>
      <c r="C36" s="17"/>
      <c r="D36" s="17"/>
      <c r="E36" s="17"/>
      <c r="F36" s="17"/>
      <c r="G36" s="17"/>
    </row>
    <row r="37" spans="1:10">
      <c r="A37" s="17"/>
      <c r="B37" s="17"/>
      <c r="C37" s="17"/>
      <c r="D37" s="17"/>
      <c r="E37" s="17"/>
      <c r="F37" s="17"/>
      <c r="G37" s="6">
        <f>F37-D37</f>
        <v>0</v>
      </c>
    </row>
    <row r="38" spans="1:10">
      <c r="A38" s="17" t="s">
        <v>26</v>
      </c>
      <c r="B38" s="17">
        <f>64870000+11217799</f>
        <v>76087799</v>
      </c>
      <c r="C38" s="17">
        <f>30290000+4390701</f>
        <v>34680701</v>
      </c>
      <c r="D38" s="17"/>
      <c r="E38" s="17"/>
      <c r="F38" s="17"/>
      <c r="G38" s="17"/>
    </row>
    <row r="39" spans="1:10">
      <c r="A39" s="17" t="s">
        <v>27</v>
      </c>
      <c r="B39" s="17">
        <v>-75455925</v>
      </c>
      <c r="C39" s="17">
        <v>-34329910</v>
      </c>
      <c r="D39" s="17"/>
      <c r="E39" s="17"/>
      <c r="F39" s="17"/>
      <c r="G39" s="6"/>
    </row>
    <row r="40" spans="1:10">
      <c r="A40" s="17"/>
      <c r="B40" s="17"/>
      <c r="C40" s="17"/>
      <c r="D40" s="17"/>
      <c r="E40" s="42"/>
      <c r="F40" s="17"/>
      <c r="G40" s="17"/>
    </row>
    <row r="41" spans="1:10" ht="17.25">
      <c r="A41" s="21"/>
      <c r="B41" s="20"/>
      <c r="C41" s="20"/>
      <c r="D41" s="20"/>
      <c r="E41" s="20"/>
      <c r="F41" s="20"/>
      <c r="G41" s="19">
        <f>F41-D41</f>
        <v>0</v>
      </c>
    </row>
    <row r="42" spans="1:10">
      <c r="A42" s="17" t="s">
        <v>28</v>
      </c>
      <c r="B42" s="17">
        <f>SUM(B35:B41)</f>
        <v>-141469</v>
      </c>
      <c r="C42" s="17">
        <f>SUM(C35:C41)</f>
        <v>2911644</v>
      </c>
      <c r="D42" s="17">
        <f>+D38+D35</f>
        <v>13443453</v>
      </c>
      <c r="E42" s="17">
        <f t="shared" ref="E42:J42" si="3">+E38+E35</f>
        <v>-3676123</v>
      </c>
      <c r="F42" s="17">
        <f t="shared" si="3"/>
        <v>3415006</v>
      </c>
      <c r="G42" s="17">
        <f t="shared" si="3"/>
        <v>-16182399</v>
      </c>
      <c r="H42" s="4">
        <f t="shared" si="3"/>
        <v>17333859.690000013</v>
      </c>
      <c r="I42" s="4">
        <f t="shared" si="3"/>
        <v>30598515.940000027</v>
      </c>
      <c r="J42" s="4">
        <f t="shared" si="3"/>
        <v>39560090.940000042</v>
      </c>
    </row>
    <row r="43" spans="1:10" ht="17.25">
      <c r="A43" s="17" t="s">
        <v>29</v>
      </c>
      <c r="B43" s="20">
        <v>0</v>
      </c>
      <c r="C43" s="20">
        <v>0</v>
      </c>
      <c r="D43" s="20">
        <v>0</v>
      </c>
      <c r="E43" s="20">
        <v>0</v>
      </c>
      <c r="F43" s="20">
        <f t="shared" ref="F43:G43" si="4">SUM(F37:F41)</f>
        <v>0</v>
      </c>
      <c r="G43" s="22">
        <f t="shared" si="4"/>
        <v>0</v>
      </c>
      <c r="H43" s="57">
        <v>0</v>
      </c>
      <c r="I43" s="57">
        <v>0</v>
      </c>
      <c r="J43" s="57">
        <v>0</v>
      </c>
    </row>
    <row r="44" spans="1:10">
      <c r="A44" s="17"/>
      <c r="B44" s="17"/>
      <c r="C44" s="17"/>
      <c r="D44" s="17"/>
      <c r="E44" s="17"/>
      <c r="F44" s="17"/>
      <c r="G44" s="17"/>
    </row>
    <row r="45" spans="1:10">
      <c r="A45" s="17" t="s">
        <v>30</v>
      </c>
      <c r="B45" s="23">
        <v>39323668</v>
      </c>
      <c r="C45" s="5">
        <f>+B48</f>
        <v>39182199</v>
      </c>
      <c r="D45" s="5">
        <f>+C48</f>
        <v>42093843</v>
      </c>
      <c r="E45" s="5">
        <f>+D48</f>
        <v>55537296</v>
      </c>
      <c r="F45" s="5">
        <f>+E48</f>
        <v>51861173</v>
      </c>
      <c r="G45" s="5"/>
      <c r="H45" s="4">
        <f>+F48</f>
        <v>55276179</v>
      </c>
      <c r="I45" s="4">
        <f>+H48</f>
        <v>72610038.690000013</v>
      </c>
      <c r="J45" s="4">
        <f>+I48</f>
        <v>103208554.63000004</v>
      </c>
    </row>
    <row r="46" spans="1:10">
      <c r="A46" s="17"/>
      <c r="B46" s="23"/>
      <c r="C46" s="5"/>
      <c r="D46" s="5"/>
      <c r="E46" s="5"/>
      <c r="F46" s="5"/>
      <c r="G46" s="5"/>
    </row>
    <row r="47" spans="1:10">
      <c r="A47" s="17"/>
      <c r="B47" s="23"/>
      <c r="C47" s="5"/>
      <c r="D47" s="5"/>
      <c r="E47" s="5"/>
      <c r="F47" s="5"/>
      <c r="G47" s="5"/>
    </row>
    <row r="48" spans="1:10">
      <c r="A48" s="16" t="s">
        <v>68</v>
      </c>
      <c r="B48" s="17">
        <f>+B45+B42</f>
        <v>39182199</v>
      </c>
      <c r="C48" s="17">
        <f>+C45+C42</f>
        <v>42093843</v>
      </c>
      <c r="D48" s="17">
        <f>+D45+D42</f>
        <v>55537296</v>
      </c>
      <c r="E48" s="17">
        <f t="shared" ref="E48:J48" si="5">+E45+E42</f>
        <v>51861173</v>
      </c>
      <c r="F48" s="17">
        <f t="shared" si="5"/>
        <v>55276179</v>
      </c>
      <c r="G48" s="17">
        <f t="shared" si="5"/>
        <v>-16182399</v>
      </c>
      <c r="H48" s="4">
        <f t="shared" si="5"/>
        <v>72610038.690000013</v>
      </c>
      <c r="I48" s="4">
        <f t="shared" si="5"/>
        <v>103208554.63000004</v>
      </c>
      <c r="J48" s="4">
        <f t="shared" si="5"/>
        <v>142768645.57000008</v>
      </c>
    </row>
    <row r="49" spans="1:7">
      <c r="A49" s="17"/>
      <c r="B49" s="23"/>
      <c r="C49" s="17"/>
      <c r="D49" s="5"/>
      <c r="E49" s="5"/>
      <c r="F49" s="5"/>
      <c r="G49" s="5"/>
    </row>
    <row r="50" spans="1:7">
      <c r="A50" s="23"/>
      <c r="B50" s="23"/>
      <c r="C50" s="24"/>
      <c r="D50" s="24"/>
      <c r="E50" s="24"/>
      <c r="F50" s="24"/>
      <c r="G50" s="24"/>
    </row>
    <row r="51" spans="1:7">
      <c r="A51" s="23"/>
      <c r="B51" s="23"/>
      <c r="C51" s="17"/>
      <c r="D51" s="17"/>
      <c r="E51" s="17"/>
      <c r="F51" s="17"/>
      <c r="G51" s="17"/>
    </row>
    <row r="52" spans="1:7">
      <c r="A52" s="23"/>
      <c r="C52" s="8"/>
      <c r="D52" s="8"/>
      <c r="E52" s="8"/>
      <c r="F52" s="8"/>
      <c r="G52" s="8"/>
    </row>
    <row r="53" spans="1:7">
      <c r="A53" s="23"/>
      <c r="C53" s="8"/>
      <c r="D53" s="8"/>
      <c r="E53" s="8"/>
      <c r="F53" s="8"/>
      <c r="G53" s="8"/>
    </row>
    <row r="54" spans="1:7">
      <c r="A54" s="23"/>
      <c r="C54" s="8"/>
      <c r="D54" s="8"/>
      <c r="E54" s="8"/>
      <c r="F54" s="8"/>
      <c r="G54" s="8"/>
    </row>
    <row r="55" spans="1:7">
      <c r="A55" s="23"/>
      <c r="B55" s="8"/>
      <c r="C55" s="8"/>
      <c r="D55" s="8"/>
      <c r="E55" s="8"/>
      <c r="F55" s="8"/>
      <c r="G55" s="8"/>
    </row>
    <row r="56" spans="1:7">
      <c r="A56" s="23"/>
      <c r="B56" s="8"/>
      <c r="C56" s="8"/>
      <c r="D56" s="8"/>
      <c r="E56" s="8"/>
      <c r="F56" s="8"/>
      <c r="G56" s="8"/>
    </row>
    <row r="57" spans="1:7">
      <c r="A57" s="23"/>
      <c r="B57" s="8"/>
      <c r="C57" s="8"/>
      <c r="D57" s="8"/>
      <c r="E57" s="8"/>
      <c r="F57" s="8"/>
      <c r="G57" s="8"/>
    </row>
    <row r="58" spans="1:7">
      <c r="B58" s="8"/>
      <c r="C58" s="8"/>
      <c r="D58" s="8"/>
      <c r="E58" s="8"/>
      <c r="F58" s="8"/>
      <c r="G58" s="8"/>
    </row>
    <row r="59" spans="1:7">
      <c r="B59" s="8"/>
      <c r="C59" s="8"/>
      <c r="D59" s="8"/>
      <c r="E59" s="8"/>
      <c r="F59" s="8"/>
      <c r="G59" s="8"/>
    </row>
    <row r="60" spans="1:7"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3"/>
      <c r="C71" s="3"/>
      <c r="D71" s="3"/>
      <c r="E71" s="3"/>
      <c r="F71" s="3"/>
      <c r="G71" s="3"/>
    </row>
    <row r="72" spans="1:7">
      <c r="A72" s="8"/>
      <c r="B72" s="3"/>
      <c r="C72" s="3"/>
      <c r="D72" s="3"/>
      <c r="E72" s="3"/>
      <c r="F72" s="3"/>
      <c r="G72" s="3"/>
    </row>
    <row r="73" spans="1:7">
      <c r="A73" s="8"/>
      <c r="B73" s="3"/>
      <c r="C73" s="3"/>
      <c r="D73" s="3"/>
      <c r="E73" s="3"/>
      <c r="F73" s="3"/>
      <c r="G73" s="3"/>
    </row>
    <row r="74" spans="1:7">
      <c r="A74" s="8"/>
      <c r="B74" s="3"/>
      <c r="C74" s="3"/>
      <c r="D74" s="3"/>
      <c r="E74" s="3"/>
      <c r="F74" s="3"/>
      <c r="G74" s="3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11"/>
      <c r="E76" s="3"/>
      <c r="F76" s="3"/>
      <c r="G76" s="3"/>
    </row>
    <row r="77" spans="1:7">
      <c r="A77" s="3"/>
      <c r="B77" s="8"/>
      <c r="C77" s="11"/>
      <c r="D77" s="11"/>
      <c r="E77" s="11"/>
      <c r="F77" s="11"/>
      <c r="G77" s="11"/>
    </row>
    <row r="78" spans="1:7">
      <c r="A78" s="3"/>
      <c r="B78" s="8"/>
      <c r="C78" s="8"/>
      <c r="D78" s="8"/>
      <c r="E78" s="8"/>
      <c r="F78" s="8"/>
      <c r="G78" s="8"/>
    </row>
    <row r="79" spans="1:7">
      <c r="A79" s="3"/>
      <c r="B79" s="8"/>
      <c r="C79" s="8"/>
      <c r="D79" s="8"/>
      <c r="E79" s="8"/>
      <c r="F79" s="8"/>
      <c r="G79" s="8"/>
    </row>
    <row r="80" spans="1:7">
      <c r="A80" s="3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8"/>
      <c r="B85" s="8"/>
      <c r="C85" s="8"/>
      <c r="D85" s="8"/>
      <c r="E85" s="8"/>
      <c r="F85" s="8"/>
      <c r="G85" s="8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12"/>
      <c r="C88" s="12"/>
      <c r="D88" s="12"/>
      <c r="E88" s="12"/>
      <c r="F88" s="12"/>
      <c r="G88" s="12"/>
    </row>
    <row r="89" spans="1:7">
      <c r="A89" s="8"/>
      <c r="B89" s="8"/>
      <c r="C89" s="8"/>
      <c r="D89" s="8"/>
      <c r="E89" s="8"/>
      <c r="F89" s="8"/>
      <c r="G89" s="8"/>
    </row>
    <row r="90" spans="1:7">
      <c r="A90" s="8"/>
      <c r="B90" s="8"/>
      <c r="C90" s="8"/>
      <c r="D90" s="8"/>
      <c r="E90" s="8"/>
      <c r="F90" s="8"/>
      <c r="G90" s="8"/>
    </row>
    <row r="91" spans="1:7">
      <c r="A91" s="8"/>
      <c r="B91" s="8"/>
      <c r="C91" s="13"/>
      <c r="D91" s="13"/>
      <c r="E91" s="13"/>
      <c r="F91" s="8"/>
      <c r="G91" s="8"/>
    </row>
    <row r="92" spans="1:7">
      <c r="A92" s="8"/>
      <c r="B92" s="8"/>
      <c r="C92" s="13"/>
      <c r="D92" s="8"/>
      <c r="E92" s="8"/>
      <c r="F92" s="8"/>
      <c r="G92" s="8"/>
    </row>
    <row r="93" spans="1:7">
      <c r="A93" s="8"/>
      <c r="B93" s="8"/>
      <c r="C93" s="13"/>
      <c r="D93" s="8"/>
      <c r="E93" s="8"/>
      <c r="F93" s="8"/>
      <c r="G93" s="8"/>
    </row>
    <row r="94" spans="1:7">
      <c r="A94" s="12"/>
      <c r="B94" s="8"/>
      <c r="C94" s="13"/>
      <c r="D94" s="8"/>
      <c r="E94" s="8"/>
      <c r="F94" s="8"/>
      <c r="G94" s="8"/>
    </row>
    <row r="95" spans="1:7">
      <c r="A95" s="8"/>
      <c r="B95" s="8"/>
      <c r="C95" s="8"/>
      <c r="D95" s="8"/>
      <c r="E95" s="8"/>
      <c r="F95" s="8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13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8"/>
      <c r="D99" s="8"/>
      <c r="E99" s="8"/>
      <c r="F99" s="8"/>
      <c r="G99" s="8"/>
    </row>
    <row r="100" spans="1:7">
      <c r="A100" s="8"/>
      <c r="B100" s="8"/>
      <c r="C100" s="8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13"/>
      <c r="D102" s="8"/>
      <c r="E102" s="8"/>
      <c r="F102" s="8"/>
      <c r="G102" s="8"/>
    </row>
    <row r="103" spans="1:7">
      <c r="A103" s="8"/>
      <c r="B103" s="8"/>
      <c r="C103" s="13"/>
      <c r="D103" s="8"/>
      <c r="E103" s="8"/>
      <c r="F103" s="8"/>
      <c r="G103" s="8"/>
    </row>
    <row r="104" spans="1:7">
      <c r="A104" s="8"/>
      <c r="B104" s="8"/>
      <c r="C104" s="13"/>
      <c r="D104" s="13"/>
      <c r="E104" s="13"/>
      <c r="F104" s="8"/>
      <c r="G104" s="8"/>
    </row>
    <row r="105" spans="1:7">
      <c r="A105" s="8"/>
      <c r="B105" s="8"/>
      <c r="C105" s="13"/>
      <c r="D105" s="8"/>
      <c r="E105" s="8"/>
      <c r="F105" s="8"/>
      <c r="G105" s="8"/>
    </row>
    <row r="106" spans="1:7">
      <c r="A106" s="8"/>
      <c r="B106" s="8"/>
      <c r="C106" s="13"/>
      <c r="D106" s="13"/>
      <c r="E106" s="13"/>
      <c r="F106" s="8"/>
      <c r="G106" s="8"/>
    </row>
    <row r="107" spans="1:7">
      <c r="A107" s="8"/>
    </row>
    <row r="108" spans="1:7">
      <c r="A108" s="8"/>
    </row>
    <row r="109" spans="1:7">
      <c r="A109" s="8"/>
    </row>
    <row r="110" spans="1:7">
      <c r="A110" s="8"/>
    </row>
    <row r="111" spans="1:7">
      <c r="A111" s="8"/>
    </row>
    <row r="112" spans="1:7">
      <c r="A112" s="8"/>
    </row>
    <row r="196" spans="6:6">
      <c r="F196" s="4" t="e">
        <f>F15+#REF!+F33+F42+F50+F59+F68+F77+F86+F95+F104+F113+F122+F131+F140+F149+F158+F167+F176+F185+F194-1</f>
        <v>#REF!</v>
      </c>
    </row>
    <row r="206" spans="6:6">
      <c r="F206" s="4">
        <f>SUM(F199:F204)-2</f>
        <v>-2</v>
      </c>
    </row>
  </sheetData>
  <mergeCells count="6">
    <mergeCell ref="E6:F6"/>
    <mergeCell ref="H6:J6"/>
    <mergeCell ref="A1:J1"/>
    <mergeCell ref="A2:J2"/>
    <mergeCell ref="A3:J3"/>
    <mergeCell ref="A4:J4"/>
  </mergeCells>
  <pageMargins left="0.7" right="0.7" top="0.75" bottom="0.75" header="0.3" footer="0.3"/>
  <pageSetup scale="65" fitToHeight="0" orientation="portrait" horizontalDpi="4294967295" verticalDpi="4294967295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H232"/>
  <sheetViews>
    <sheetView topLeftCell="A150" workbookViewId="0">
      <selection activeCell="A2" sqref="A2:F2"/>
    </sheetView>
  </sheetViews>
  <sheetFormatPr defaultColWidth="5.7109375" defaultRowHeight="12.75" customHeight="1"/>
  <cols>
    <col min="1" max="1" width="42.28515625" style="1" customWidth="1"/>
    <col min="2" max="6" width="12.28515625" style="1" customWidth="1"/>
    <col min="7" max="16384" width="5.7109375" style="1"/>
  </cols>
  <sheetData>
    <row r="1" spans="1:8" s="29" customFormat="1" ht="15.75">
      <c r="A1" s="207" t="s">
        <v>0</v>
      </c>
      <c r="B1" s="207"/>
      <c r="C1" s="207"/>
      <c r="D1" s="207"/>
      <c r="E1" s="207"/>
      <c r="F1" s="207"/>
    </row>
    <row r="2" spans="1:8" s="29" customFormat="1" ht="15.75">
      <c r="A2" s="213" t="s">
        <v>33</v>
      </c>
      <c r="B2" s="213"/>
      <c r="C2" s="213"/>
      <c r="D2" s="213"/>
      <c r="E2" s="213"/>
      <c r="F2" s="213"/>
    </row>
    <row r="3" spans="1:8" s="29" customFormat="1" ht="15.75">
      <c r="A3" s="213" t="s">
        <v>66</v>
      </c>
      <c r="B3" s="213"/>
      <c r="C3" s="213"/>
      <c r="D3" s="213"/>
      <c r="E3" s="213"/>
      <c r="F3" s="213"/>
    </row>
    <row r="4" spans="1:8" s="29" customFormat="1" ht="15.75">
      <c r="A4" s="206" t="s">
        <v>90</v>
      </c>
      <c r="B4" s="206"/>
      <c r="C4" s="206"/>
      <c r="D4" s="206"/>
      <c r="E4" s="206"/>
      <c r="F4" s="206"/>
    </row>
    <row r="5" spans="1:8" s="29" customFormat="1" ht="15.75">
      <c r="A5" s="31"/>
      <c r="B5" s="31"/>
      <c r="C5" s="31"/>
      <c r="D5" s="58"/>
      <c r="E5" s="58" t="s">
        <v>65</v>
      </c>
      <c r="F5" s="40" t="s">
        <v>65</v>
      </c>
    </row>
    <row r="6" spans="1:8" s="29" customFormat="1" ht="15.75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</row>
    <row r="7" spans="1:8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</row>
    <row r="8" spans="1:8" s="4" customFormat="1" ht="15">
      <c r="A8" s="7" t="s">
        <v>34</v>
      </c>
      <c r="B8" s="9"/>
      <c r="C8" s="9"/>
      <c r="D8" s="9"/>
      <c r="E8" s="9"/>
      <c r="F8" s="9"/>
      <c r="H8" s="9"/>
    </row>
    <row r="9" spans="1:8" s="4" customFormat="1" ht="15">
      <c r="A9" s="8" t="s">
        <v>35</v>
      </c>
      <c r="B9" s="6">
        <v>0</v>
      </c>
      <c r="C9" s="6">
        <v>0</v>
      </c>
      <c r="D9" s="6">
        <v>0</v>
      </c>
      <c r="E9" s="6">
        <f>0</f>
        <v>0</v>
      </c>
      <c r="F9" s="6">
        <f>0</f>
        <v>0</v>
      </c>
      <c r="H9" s="9"/>
    </row>
    <row r="10" spans="1:8" s="4" customFormat="1" ht="15">
      <c r="A10" s="8" t="s">
        <v>36</v>
      </c>
      <c r="B10" s="6">
        <v>0</v>
      </c>
      <c r="C10" s="6">
        <v>0</v>
      </c>
      <c r="D10" s="6">
        <v>0</v>
      </c>
      <c r="E10" s="6">
        <f>0</f>
        <v>0</v>
      </c>
      <c r="F10" s="6">
        <f>0</f>
        <v>0</v>
      </c>
      <c r="H10" s="9"/>
    </row>
    <row r="11" spans="1:8" s="4" customFormat="1" ht="15">
      <c r="A11" s="8" t="s">
        <v>37</v>
      </c>
      <c r="B11" s="6">
        <v>0</v>
      </c>
      <c r="C11" s="6">
        <v>0</v>
      </c>
      <c r="D11" s="6">
        <v>0</v>
      </c>
      <c r="E11" s="6">
        <f>0</f>
        <v>0</v>
      </c>
      <c r="F11" s="6">
        <f>0</f>
        <v>0</v>
      </c>
      <c r="H11" s="9"/>
    </row>
    <row r="12" spans="1:8" s="4" customFormat="1" ht="15">
      <c r="A12" s="8" t="s">
        <v>38</v>
      </c>
      <c r="B12" s="6">
        <v>0</v>
      </c>
      <c r="C12" s="6">
        <v>0</v>
      </c>
      <c r="D12" s="6">
        <v>0</v>
      </c>
      <c r="E12" s="6">
        <f>0</f>
        <v>0</v>
      </c>
      <c r="F12" s="6">
        <f>0</f>
        <v>0</v>
      </c>
      <c r="H12" s="9"/>
    </row>
    <row r="13" spans="1:8" s="4" customFormat="1" ht="15">
      <c r="A13" s="8" t="s">
        <v>39</v>
      </c>
      <c r="B13" s="6">
        <v>0</v>
      </c>
      <c r="C13" s="6">
        <v>0</v>
      </c>
      <c r="D13" s="6">
        <v>0</v>
      </c>
      <c r="E13" s="6">
        <f>0</f>
        <v>0</v>
      </c>
      <c r="F13" s="6">
        <f>0</f>
        <v>0</v>
      </c>
      <c r="H13" s="9"/>
    </row>
    <row r="14" spans="1:8" s="4" customFormat="1" ht="15">
      <c r="A14" s="8" t="s">
        <v>40</v>
      </c>
      <c r="B14" s="54">
        <v>0</v>
      </c>
      <c r="C14" s="54">
        <v>0</v>
      </c>
      <c r="D14" s="54">
        <v>0</v>
      </c>
      <c r="E14" s="54">
        <f>0</f>
        <v>0</v>
      </c>
      <c r="F14" s="54">
        <f>0</f>
        <v>0</v>
      </c>
      <c r="H14" s="9"/>
    </row>
    <row r="15" spans="1:8" s="4" customFormat="1" ht="15">
      <c r="A15" s="8" t="s">
        <v>42</v>
      </c>
      <c r="B15" s="54">
        <f>SUM(B9:B14)</f>
        <v>0</v>
      </c>
      <c r="C15" s="54">
        <f>SUM(C9:C14)</f>
        <v>0</v>
      </c>
      <c r="D15" s="54">
        <f>SUM(D9:D14)</f>
        <v>0</v>
      </c>
      <c r="E15" s="54">
        <f>SUM(E9:E14)</f>
        <v>0</v>
      </c>
      <c r="F15" s="54">
        <f>SUM(F9:F14)</f>
        <v>0</v>
      </c>
      <c r="H15" s="9"/>
    </row>
    <row r="16" spans="1:8" s="4" customFormat="1" ht="15">
      <c r="A16" s="7"/>
      <c r="B16" s="54"/>
      <c r="C16" s="54"/>
      <c r="D16" s="54"/>
      <c r="E16" s="54"/>
      <c r="F16" s="54"/>
      <c r="H16" s="9"/>
    </row>
    <row r="17" spans="1:8" s="4" customFormat="1" ht="15">
      <c r="A17" s="7" t="s">
        <v>41</v>
      </c>
      <c r="B17" s="6"/>
      <c r="C17" s="6"/>
      <c r="D17" s="6"/>
      <c r="E17" s="6"/>
      <c r="F17" s="6"/>
      <c r="H17" s="9"/>
    </row>
    <row r="18" spans="1:8" s="4" customFormat="1" ht="15">
      <c r="A18" s="8" t="s">
        <v>35</v>
      </c>
      <c r="B18" s="6">
        <v>0</v>
      </c>
      <c r="C18" s="6">
        <v>0</v>
      </c>
      <c r="D18" s="6">
        <v>0</v>
      </c>
      <c r="E18" s="6">
        <f>0</f>
        <v>0</v>
      </c>
      <c r="F18" s="6">
        <f>0</f>
        <v>0</v>
      </c>
      <c r="H18" s="9"/>
    </row>
    <row r="19" spans="1:8" s="4" customFormat="1" ht="15">
      <c r="A19" s="8" t="s">
        <v>36</v>
      </c>
      <c r="B19" s="6">
        <v>0</v>
      </c>
      <c r="C19" s="6">
        <v>0</v>
      </c>
      <c r="D19" s="6">
        <v>0</v>
      </c>
      <c r="E19" s="6">
        <f>0</f>
        <v>0</v>
      </c>
      <c r="F19" s="6">
        <f>0</f>
        <v>0</v>
      </c>
      <c r="H19" s="9"/>
    </row>
    <row r="20" spans="1:8" s="4" customFormat="1" ht="15">
      <c r="A20" s="8" t="s">
        <v>37</v>
      </c>
      <c r="B20" s="6">
        <v>0</v>
      </c>
      <c r="C20" s="6">
        <v>0</v>
      </c>
      <c r="D20" s="6">
        <v>0</v>
      </c>
      <c r="E20" s="6">
        <f>0</f>
        <v>0</v>
      </c>
      <c r="F20" s="6">
        <f>0</f>
        <v>0</v>
      </c>
      <c r="H20" s="9"/>
    </row>
    <row r="21" spans="1:8" s="4" customFormat="1" ht="15">
      <c r="A21" s="8" t="s">
        <v>38</v>
      </c>
      <c r="B21" s="6">
        <v>0</v>
      </c>
      <c r="C21" s="6">
        <v>0</v>
      </c>
      <c r="D21" s="6">
        <v>0</v>
      </c>
      <c r="E21" s="6">
        <f>0</f>
        <v>0</v>
      </c>
      <c r="F21" s="6">
        <f>0</f>
        <v>0</v>
      </c>
      <c r="H21" s="9"/>
    </row>
    <row r="22" spans="1:8" s="4" customFormat="1" ht="15">
      <c r="A22" s="8" t="s">
        <v>39</v>
      </c>
      <c r="B22" s="6">
        <v>0</v>
      </c>
      <c r="C22" s="6">
        <v>0</v>
      </c>
      <c r="D22" s="6">
        <v>0</v>
      </c>
      <c r="E22" s="6">
        <f>0</f>
        <v>0</v>
      </c>
      <c r="F22" s="6">
        <f>0</f>
        <v>0</v>
      </c>
      <c r="H22" s="9"/>
    </row>
    <row r="23" spans="1:8" s="4" customFormat="1" ht="15">
      <c r="A23" s="8" t="s">
        <v>40</v>
      </c>
      <c r="B23" s="54">
        <v>0</v>
      </c>
      <c r="C23" s="54">
        <v>0</v>
      </c>
      <c r="D23" s="54">
        <v>0</v>
      </c>
      <c r="E23" s="54">
        <f>0</f>
        <v>0</v>
      </c>
      <c r="F23" s="54">
        <f>0</f>
        <v>0</v>
      </c>
      <c r="H23" s="9"/>
    </row>
    <row r="24" spans="1:8" s="4" customFormat="1" ht="15">
      <c r="A24" s="8" t="s">
        <v>42</v>
      </c>
      <c r="B24" s="54">
        <f>SUM(B18:B23)</f>
        <v>0</v>
      </c>
      <c r="C24" s="54">
        <f>SUM(C18:C23)</f>
        <v>0</v>
      </c>
      <c r="D24" s="54">
        <f>SUM(D18:D23)</f>
        <v>0</v>
      </c>
      <c r="E24" s="54">
        <f>SUM(E18:E23)</f>
        <v>0</v>
      </c>
      <c r="F24" s="54">
        <f>SUM(F18:F23)</f>
        <v>0</v>
      </c>
      <c r="H24" s="9"/>
    </row>
    <row r="25" spans="1:8" s="4" customFormat="1" ht="15">
      <c r="A25" s="7"/>
      <c r="B25" s="54"/>
      <c r="C25" s="54"/>
      <c r="D25" s="54"/>
      <c r="E25" s="54"/>
      <c r="F25" s="54"/>
      <c r="H25" s="9"/>
    </row>
    <row r="26" spans="1:8" s="4" customFormat="1" ht="15">
      <c r="A26" s="7" t="s">
        <v>43</v>
      </c>
      <c r="B26" s="6"/>
      <c r="C26" s="6"/>
      <c r="D26" s="6"/>
      <c r="E26" s="6"/>
      <c r="F26" s="6"/>
      <c r="H26" s="9"/>
    </row>
    <row r="27" spans="1:8" s="4" customFormat="1" ht="15">
      <c r="A27" s="8" t="s">
        <v>35</v>
      </c>
      <c r="B27" s="6">
        <v>0</v>
      </c>
      <c r="C27" s="6">
        <v>0</v>
      </c>
      <c r="D27" s="6">
        <v>0</v>
      </c>
      <c r="E27" s="6">
        <f>0</f>
        <v>0</v>
      </c>
      <c r="F27" s="6">
        <f>0</f>
        <v>0</v>
      </c>
      <c r="H27" s="9"/>
    </row>
    <row r="28" spans="1:8" s="4" customFormat="1" ht="15">
      <c r="A28" s="8" t="s">
        <v>36</v>
      </c>
      <c r="B28" s="6">
        <v>0</v>
      </c>
      <c r="C28" s="6">
        <v>0</v>
      </c>
      <c r="D28" s="6">
        <v>0</v>
      </c>
      <c r="E28" s="6">
        <f>0</f>
        <v>0</v>
      </c>
      <c r="F28" s="6">
        <f>0</f>
        <v>0</v>
      </c>
      <c r="H28" s="9"/>
    </row>
    <row r="29" spans="1:8" s="4" customFormat="1" ht="15">
      <c r="A29" s="8" t="s">
        <v>37</v>
      </c>
      <c r="B29" s="6">
        <v>0</v>
      </c>
      <c r="C29" s="6">
        <v>0</v>
      </c>
      <c r="D29" s="6">
        <v>0</v>
      </c>
      <c r="E29" s="6">
        <f>0</f>
        <v>0</v>
      </c>
      <c r="F29" s="6">
        <f>0</f>
        <v>0</v>
      </c>
      <c r="H29" s="9"/>
    </row>
    <row r="30" spans="1:8" s="4" customFormat="1" ht="15">
      <c r="A30" s="8" t="s">
        <v>38</v>
      </c>
      <c r="B30" s="6">
        <v>0</v>
      </c>
      <c r="C30" s="6">
        <v>0</v>
      </c>
      <c r="D30" s="6">
        <v>0</v>
      </c>
      <c r="E30" s="6">
        <f>0</f>
        <v>0</v>
      </c>
      <c r="F30" s="6">
        <f>0</f>
        <v>0</v>
      </c>
      <c r="H30" s="9"/>
    </row>
    <row r="31" spans="1:8" s="4" customFormat="1" ht="15">
      <c r="A31" s="8" t="s">
        <v>39</v>
      </c>
      <c r="B31" s="6">
        <v>0</v>
      </c>
      <c r="C31" s="6">
        <v>0</v>
      </c>
      <c r="D31" s="6">
        <v>0</v>
      </c>
      <c r="E31" s="6">
        <f>0</f>
        <v>0</v>
      </c>
      <c r="F31" s="6">
        <f>0</f>
        <v>0</v>
      </c>
      <c r="H31" s="9"/>
    </row>
    <row r="32" spans="1:8" s="4" customFormat="1" ht="15">
      <c r="A32" s="8" t="s">
        <v>40</v>
      </c>
      <c r="B32" s="54">
        <v>0</v>
      </c>
      <c r="C32" s="54">
        <v>0</v>
      </c>
      <c r="D32" s="54">
        <v>0</v>
      </c>
      <c r="E32" s="54">
        <f>0</f>
        <v>0</v>
      </c>
      <c r="F32" s="54">
        <f>0</f>
        <v>0</v>
      </c>
      <c r="H32" s="9"/>
    </row>
    <row r="33" spans="1:8" s="4" customFormat="1" ht="15">
      <c r="A33" s="8" t="s">
        <v>42</v>
      </c>
      <c r="B33" s="54">
        <f>SUM(B27:B32)</f>
        <v>0</v>
      </c>
      <c r="C33" s="54">
        <f>SUM(C27:C32)</f>
        <v>0</v>
      </c>
      <c r="D33" s="54">
        <f>SUM(D27:D32)</f>
        <v>0</v>
      </c>
      <c r="E33" s="54">
        <f>SUM(E27:E32)</f>
        <v>0</v>
      </c>
      <c r="F33" s="54">
        <f>SUM(F27:F32)</f>
        <v>0</v>
      </c>
      <c r="H33" s="9"/>
    </row>
    <row r="34" spans="1:8" s="4" customFormat="1" ht="15">
      <c r="A34" s="7"/>
      <c r="B34" s="54"/>
      <c r="C34" s="54"/>
      <c r="D34" s="54"/>
      <c r="E34" s="54"/>
      <c r="F34" s="54"/>
      <c r="H34" s="9"/>
    </row>
    <row r="35" spans="1:8" s="4" customFormat="1" ht="15">
      <c r="A35" s="7" t="s">
        <v>44</v>
      </c>
      <c r="B35" s="6"/>
      <c r="C35" s="6"/>
      <c r="D35" s="6"/>
      <c r="E35" s="6"/>
      <c r="F35" s="6"/>
      <c r="H35" s="9"/>
    </row>
    <row r="36" spans="1:8" s="4" customFormat="1" ht="15">
      <c r="A36" s="8" t="s">
        <v>35</v>
      </c>
      <c r="B36" s="6">
        <v>0</v>
      </c>
      <c r="C36" s="6">
        <v>0</v>
      </c>
      <c r="D36" s="6">
        <v>0</v>
      </c>
      <c r="E36" s="6">
        <f>0</f>
        <v>0</v>
      </c>
      <c r="F36" s="6">
        <f>0</f>
        <v>0</v>
      </c>
      <c r="H36" s="9"/>
    </row>
    <row r="37" spans="1:8" s="4" customFormat="1" ht="15">
      <c r="A37" s="8" t="s">
        <v>36</v>
      </c>
      <c r="B37" s="6">
        <v>0</v>
      </c>
      <c r="C37" s="6">
        <v>0</v>
      </c>
      <c r="D37" s="6">
        <v>0</v>
      </c>
      <c r="E37" s="6">
        <f>0</f>
        <v>0</v>
      </c>
      <c r="F37" s="6">
        <f>0</f>
        <v>0</v>
      </c>
      <c r="H37" s="9"/>
    </row>
    <row r="38" spans="1:8" s="4" customFormat="1" ht="15">
      <c r="A38" s="8" t="s">
        <v>37</v>
      </c>
      <c r="B38" s="6">
        <v>0</v>
      </c>
      <c r="C38" s="6">
        <v>0</v>
      </c>
      <c r="D38" s="6">
        <v>0</v>
      </c>
      <c r="E38" s="6">
        <f>0</f>
        <v>0</v>
      </c>
      <c r="F38" s="6">
        <f>0</f>
        <v>0</v>
      </c>
      <c r="H38" s="9"/>
    </row>
    <row r="39" spans="1:8" s="4" customFormat="1" ht="15">
      <c r="A39" s="8" t="s">
        <v>38</v>
      </c>
      <c r="B39" s="6">
        <v>0</v>
      </c>
      <c r="C39" s="6">
        <v>0</v>
      </c>
      <c r="D39" s="6">
        <v>0</v>
      </c>
      <c r="E39" s="6">
        <f>0</f>
        <v>0</v>
      </c>
      <c r="F39" s="6">
        <f>0</f>
        <v>0</v>
      </c>
      <c r="H39" s="9"/>
    </row>
    <row r="40" spans="1:8" s="4" customFormat="1" ht="15">
      <c r="A40" s="8" t="s">
        <v>39</v>
      </c>
      <c r="B40" s="6">
        <v>0</v>
      </c>
      <c r="C40" s="6">
        <v>0</v>
      </c>
      <c r="D40" s="6">
        <v>0</v>
      </c>
      <c r="E40" s="6">
        <f>0</f>
        <v>0</v>
      </c>
      <c r="F40" s="6">
        <f>0</f>
        <v>0</v>
      </c>
      <c r="H40" s="9"/>
    </row>
    <row r="41" spans="1:8" s="4" customFormat="1" ht="15">
      <c r="A41" s="8" t="s">
        <v>40</v>
      </c>
      <c r="B41" s="54">
        <v>0</v>
      </c>
      <c r="C41" s="54">
        <v>0</v>
      </c>
      <c r="D41" s="54">
        <v>0</v>
      </c>
      <c r="E41" s="54">
        <f>0</f>
        <v>0</v>
      </c>
      <c r="F41" s="54">
        <f>0</f>
        <v>0</v>
      </c>
      <c r="H41" s="9"/>
    </row>
    <row r="42" spans="1:8" s="4" customFormat="1" ht="15">
      <c r="A42" s="8" t="s">
        <v>42</v>
      </c>
      <c r="B42" s="54">
        <f>SUM(B36:B41)</f>
        <v>0</v>
      </c>
      <c r="C42" s="54">
        <f>SUM(C36:C41)</f>
        <v>0</v>
      </c>
      <c r="D42" s="54">
        <f>SUM(D36:D41)</f>
        <v>0</v>
      </c>
      <c r="E42" s="54">
        <f>SUM(E36:E41)</f>
        <v>0</v>
      </c>
      <c r="F42" s="54">
        <f>SUM(F36:F41)</f>
        <v>0</v>
      </c>
      <c r="H42" s="9"/>
    </row>
    <row r="43" spans="1:8" s="4" customFormat="1" ht="15">
      <c r="A43" s="7"/>
      <c r="B43" s="54"/>
      <c r="C43" s="54"/>
      <c r="D43" s="54"/>
      <c r="E43" s="54"/>
      <c r="F43" s="54"/>
      <c r="H43" s="9"/>
    </row>
    <row r="44" spans="1:8" s="4" customFormat="1" ht="15">
      <c r="A44" s="7" t="s">
        <v>45</v>
      </c>
      <c r="B44" s="6"/>
      <c r="C44" s="6"/>
      <c r="D44" s="6"/>
      <c r="E44" s="6"/>
      <c r="F44" s="6"/>
      <c r="H44" s="9"/>
    </row>
    <row r="45" spans="1:8" s="4" customFormat="1" ht="15">
      <c r="A45" s="8" t="s">
        <v>35</v>
      </c>
      <c r="B45" s="6">
        <v>0</v>
      </c>
      <c r="C45" s="6">
        <v>0</v>
      </c>
      <c r="D45" s="6">
        <v>0</v>
      </c>
      <c r="E45" s="6">
        <f>0</f>
        <v>0</v>
      </c>
      <c r="F45" s="6">
        <f>0</f>
        <v>0</v>
      </c>
      <c r="H45" s="9"/>
    </row>
    <row r="46" spans="1:8" s="4" customFormat="1" ht="15">
      <c r="A46" s="8" t="s">
        <v>36</v>
      </c>
      <c r="B46" s="6">
        <v>0</v>
      </c>
      <c r="C46" s="6">
        <v>0</v>
      </c>
      <c r="D46" s="6">
        <v>0</v>
      </c>
      <c r="E46" s="6">
        <f>0</f>
        <v>0</v>
      </c>
      <c r="F46" s="6">
        <f>0</f>
        <v>0</v>
      </c>
      <c r="H46" s="9"/>
    </row>
    <row r="47" spans="1:8" s="4" customFormat="1" ht="15">
      <c r="A47" s="8" t="s">
        <v>37</v>
      </c>
      <c r="B47" s="6">
        <v>0</v>
      </c>
      <c r="C47" s="6">
        <v>0</v>
      </c>
      <c r="D47" s="6">
        <v>0</v>
      </c>
      <c r="E47" s="6">
        <f>0</f>
        <v>0</v>
      </c>
      <c r="F47" s="6">
        <f>0</f>
        <v>0</v>
      </c>
      <c r="H47" s="9"/>
    </row>
    <row r="48" spans="1:8" s="4" customFormat="1" ht="15">
      <c r="A48" s="8" t="s">
        <v>38</v>
      </c>
      <c r="B48" s="6">
        <v>0</v>
      </c>
      <c r="C48" s="6">
        <v>0</v>
      </c>
      <c r="D48" s="6">
        <v>0</v>
      </c>
      <c r="E48" s="6">
        <f>0</f>
        <v>0</v>
      </c>
      <c r="F48" s="6">
        <f>0</f>
        <v>0</v>
      </c>
      <c r="H48" s="9"/>
    </row>
    <row r="49" spans="1:8" s="4" customFormat="1" ht="15">
      <c r="A49" s="8" t="s">
        <v>39</v>
      </c>
      <c r="B49" s="6">
        <v>0</v>
      </c>
      <c r="C49" s="6">
        <v>0</v>
      </c>
      <c r="D49" s="6">
        <v>0</v>
      </c>
      <c r="E49" s="6">
        <f>0</f>
        <v>0</v>
      </c>
      <c r="F49" s="6">
        <f>0</f>
        <v>0</v>
      </c>
      <c r="H49" s="9"/>
    </row>
    <row r="50" spans="1:8" s="4" customFormat="1" ht="15">
      <c r="A50" s="8" t="s">
        <v>40</v>
      </c>
      <c r="B50" s="54">
        <v>0</v>
      </c>
      <c r="C50" s="54">
        <v>0</v>
      </c>
      <c r="D50" s="54">
        <v>0</v>
      </c>
      <c r="E50" s="54">
        <f>0</f>
        <v>0</v>
      </c>
      <c r="F50" s="54">
        <f>0</f>
        <v>0</v>
      </c>
      <c r="H50" s="9"/>
    </row>
    <row r="51" spans="1:8" s="4" customFormat="1" ht="15">
      <c r="A51" s="8" t="s">
        <v>42</v>
      </c>
      <c r="B51" s="54">
        <f>SUM(B45:B50)</f>
        <v>0</v>
      </c>
      <c r="C51" s="54">
        <f>SUM(C45:C50)</f>
        <v>0</v>
      </c>
      <c r="D51" s="54">
        <f>SUM(D45:D50)</f>
        <v>0</v>
      </c>
      <c r="E51" s="54">
        <f>SUM(E45:E50)</f>
        <v>0</v>
      </c>
      <c r="F51" s="54">
        <f>SUM(F45:F50)</f>
        <v>0</v>
      </c>
      <c r="H51" s="9"/>
    </row>
    <row r="52" spans="1:8" s="4" customFormat="1" ht="15">
      <c r="A52" s="7"/>
      <c r="B52" s="6"/>
      <c r="C52" s="6"/>
      <c r="D52" s="6"/>
      <c r="E52" s="6"/>
      <c r="F52" s="6"/>
      <c r="H52" s="9"/>
    </row>
    <row r="53" spans="1:8" s="4" customFormat="1" ht="15">
      <c r="A53" s="7" t="s">
        <v>46</v>
      </c>
      <c r="B53" s="6"/>
      <c r="C53" s="6"/>
      <c r="D53" s="6"/>
      <c r="E53" s="6"/>
      <c r="F53" s="6"/>
      <c r="H53" s="9"/>
    </row>
    <row r="54" spans="1:8" s="4" customFormat="1" ht="15">
      <c r="A54" s="8" t="s">
        <v>35</v>
      </c>
      <c r="B54" s="6">
        <v>0</v>
      </c>
      <c r="C54" s="6">
        <v>0</v>
      </c>
      <c r="D54" s="6">
        <v>0</v>
      </c>
      <c r="E54" s="6">
        <f>0</f>
        <v>0</v>
      </c>
      <c r="F54" s="6">
        <f>0</f>
        <v>0</v>
      </c>
      <c r="H54" s="9"/>
    </row>
    <row r="55" spans="1:8" s="4" customFormat="1" ht="15">
      <c r="A55" s="8" t="s">
        <v>36</v>
      </c>
      <c r="B55" s="6">
        <v>0</v>
      </c>
      <c r="C55" s="6">
        <v>0</v>
      </c>
      <c r="D55" s="6">
        <v>0</v>
      </c>
      <c r="E55" s="6">
        <f>0</f>
        <v>0</v>
      </c>
      <c r="F55" s="6">
        <f>0</f>
        <v>0</v>
      </c>
      <c r="H55" s="9"/>
    </row>
    <row r="56" spans="1:8" s="4" customFormat="1" ht="15">
      <c r="A56" s="8" t="s">
        <v>37</v>
      </c>
      <c r="B56" s="6">
        <v>0</v>
      </c>
      <c r="C56" s="6">
        <v>0</v>
      </c>
      <c r="D56" s="6">
        <v>0</v>
      </c>
      <c r="E56" s="6">
        <f>0</f>
        <v>0</v>
      </c>
      <c r="F56" s="6">
        <f>0</f>
        <v>0</v>
      </c>
      <c r="H56" s="9"/>
    </row>
    <row r="57" spans="1:8" s="4" customFormat="1" ht="15">
      <c r="A57" s="8" t="s">
        <v>38</v>
      </c>
      <c r="B57" s="6">
        <v>0</v>
      </c>
      <c r="C57" s="6">
        <v>0</v>
      </c>
      <c r="D57" s="6">
        <v>0</v>
      </c>
      <c r="E57" s="6">
        <f>0</f>
        <v>0</v>
      </c>
      <c r="F57" s="6">
        <f>0</f>
        <v>0</v>
      </c>
      <c r="H57" s="9"/>
    </row>
    <row r="58" spans="1:8" s="4" customFormat="1" ht="15">
      <c r="A58" s="8" t="s">
        <v>39</v>
      </c>
      <c r="B58" s="6">
        <v>0</v>
      </c>
      <c r="C58" s="6">
        <v>0</v>
      </c>
      <c r="D58" s="6">
        <v>0</v>
      </c>
      <c r="E58" s="6">
        <f>0</f>
        <v>0</v>
      </c>
      <c r="F58" s="6">
        <f>0</f>
        <v>0</v>
      </c>
      <c r="H58" s="9"/>
    </row>
    <row r="59" spans="1:8" s="4" customFormat="1" ht="15">
      <c r="A59" s="8" t="s">
        <v>40</v>
      </c>
      <c r="B59" s="54">
        <v>0</v>
      </c>
      <c r="C59" s="54">
        <v>0</v>
      </c>
      <c r="D59" s="54">
        <v>0</v>
      </c>
      <c r="E59" s="54">
        <f>0</f>
        <v>0</v>
      </c>
      <c r="F59" s="54">
        <f>0</f>
        <v>0</v>
      </c>
      <c r="H59" s="9"/>
    </row>
    <row r="60" spans="1:8" s="4" customFormat="1" ht="15">
      <c r="A60" s="8" t="s">
        <v>42</v>
      </c>
      <c r="B60" s="54">
        <f>SUM(B54:B59)</f>
        <v>0</v>
      </c>
      <c r="C60" s="54">
        <f>SUM(C54:C59)</f>
        <v>0</v>
      </c>
      <c r="D60" s="54">
        <f>SUM(D54:D59)</f>
        <v>0</v>
      </c>
      <c r="E60" s="54">
        <f>SUM(E54:E59)</f>
        <v>0</v>
      </c>
      <c r="F60" s="54">
        <f>SUM(F54:F59)</f>
        <v>0</v>
      </c>
      <c r="H60" s="9"/>
    </row>
    <row r="61" spans="1:8" s="4" customFormat="1" ht="15">
      <c r="A61" s="7"/>
      <c r="B61" s="54"/>
      <c r="C61" s="54"/>
      <c r="D61" s="54"/>
      <c r="E61" s="54"/>
      <c r="F61" s="54"/>
      <c r="H61" s="9"/>
    </row>
    <row r="62" spans="1:8" s="4" customFormat="1" ht="15">
      <c r="A62" s="7" t="s">
        <v>47</v>
      </c>
      <c r="B62" s="6"/>
      <c r="C62" s="6"/>
      <c r="D62" s="6"/>
      <c r="E62" s="6"/>
      <c r="F62" s="6"/>
      <c r="H62" s="9"/>
    </row>
    <row r="63" spans="1:8" s="4" customFormat="1" ht="15">
      <c r="A63" s="8" t="s">
        <v>35</v>
      </c>
      <c r="B63" s="6">
        <v>0</v>
      </c>
      <c r="C63" s="6">
        <v>0</v>
      </c>
      <c r="D63" s="6">
        <v>0</v>
      </c>
      <c r="E63" s="6">
        <f>0</f>
        <v>0</v>
      </c>
      <c r="F63" s="6">
        <f>0</f>
        <v>0</v>
      </c>
      <c r="H63" s="9"/>
    </row>
    <row r="64" spans="1:8" s="4" customFormat="1" ht="15">
      <c r="A64" s="8" t="s">
        <v>36</v>
      </c>
      <c r="B64" s="6">
        <v>0</v>
      </c>
      <c r="C64" s="6">
        <v>0</v>
      </c>
      <c r="D64" s="6">
        <v>0</v>
      </c>
      <c r="E64" s="6">
        <f>0</f>
        <v>0</v>
      </c>
      <c r="F64" s="6">
        <f>0</f>
        <v>0</v>
      </c>
      <c r="H64" s="9"/>
    </row>
    <row r="65" spans="1:8" s="4" customFormat="1" ht="15">
      <c r="A65" s="8" t="s">
        <v>37</v>
      </c>
      <c r="B65" s="6">
        <v>0</v>
      </c>
      <c r="C65" s="6">
        <v>0</v>
      </c>
      <c r="D65" s="6">
        <v>0</v>
      </c>
      <c r="E65" s="6">
        <f>0</f>
        <v>0</v>
      </c>
      <c r="F65" s="6">
        <f>0</f>
        <v>0</v>
      </c>
      <c r="H65" s="9"/>
    </row>
    <row r="66" spans="1:8" s="4" customFormat="1" ht="15">
      <c r="A66" s="8" t="s">
        <v>38</v>
      </c>
      <c r="B66" s="6">
        <v>0</v>
      </c>
      <c r="C66" s="6">
        <v>0</v>
      </c>
      <c r="D66" s="6">
        <v>0</v>
      </c>
      <c r="E66" s="6">
        <f>0</f>
        <v>0</v>
      </c>
      <c r="F66" s="6">
        <f>0</f>
        <v>0</v>
      </c>
      <c r="H66" s="9"/>
    </row>
    <row r="67" spans="1:8" s="4" customFormat="1" ht="15">
      <c r="A67" s="8" t="s">
        <v>39</v>
      </c>
      <c r="B67" s="6">
        <v>0</v>
      </c>
      <c r="C67" s="6">
        <v>0</v>
      </c>
      <c r="D67" s="6">
        <v>0</v>
      </c>
      <c r="E67" s="6">
        <f>0</f>
        <v>0</v>
      </c>
      <c r="F67" s="6">
        <f>0</f>
        <v>0</v>
      </c>
      <c r="H67" s="9"/>
    </row>
    <row r="68" spans="1:8" s="4" customFormat="1" ht="15">
      <c r="A68" s="8" t="s">
        <v>40</v>
      </c>
      <c r="B68" s="54">
        <v>0</v>
      </c>
      <c r="C68" s="54">
        <v>0</v>
      </c>
      <c r="D68" s="54">
        <v>0</v>
      </c>
      <c r="E68" s="54">
        <f>0</f>
        <v>0</v>
      </c>
      <c r="F68" s="54">
        <f>0</f>
        <v>0</v>
      </c>
      <c r="H68" s="9"/>
    </row>
    <row r="69" spans="1:8" s="4" customFormat="1" ht="15">
      <c r="A69" s="8" t="s">
        <v>42</v>
      </c>
      <c r="B69" s="54">
        <f>SUM(B63:B68)</f>
        <v>0</v>
      </c>
      <c r="C69" s="54">
        <f>SUM(C63:C68)</f>
        <v>0</v>
      </c>
      <c r="D69" s="54">
        <f>SUM(D63:D68)</f>
        <v>0</v>
      </c>
      <c r="E69" s="54">
        <f>SUM(E63:E68)</f>
        <v>0</v>
      </c>
      <c r="F69" s="54">
        <f>SUM(F63:F68)</f>
        <v>0</v>
      </c>
      <c r="H69" s="9"/>
    </row>
    <row r="70" spans="1:8" s="4" customFormat="1" ht="15">
      <c r="A70" s="7"/>
      <c r="B70" s="54"/>
      <c r="C70" s="54"/>
      <c r="D70" s="54"/>
      <c r="E70" s="54"/>
      <c r="F70" s="54"/>
      <c r="H70" s="9"/>
    </row>
    <row r="71" spans="1:8" s="4" customFormat="1" ht="15">
      <c r="A71" s="7" t="s">
        <v>48</v>
      </c>
      <c r="B71" s="6"/>
      <c r="C71" s="6"/>
      <c r="D71" s="6"/>
      <c r="E71" s="6"/>
      <c r="F71" s="6"/>
      <c r="H71" s="9"/>
    </row>
    <row r="72" spans="1:8" s="4" customFormat="1" ht="15">
      <c r="A72" s="8" t="s">
        <v>35</v>
      </c>
      <c r="B72" s="6">
        <v>0</v>
      </c>
      <c r="C72" s="6">
        <v>0</v>
      </c>
      <c r="D72" s="6">
        <v>0</v>
      </c>
      <c r="E72" s="6">
        <f>0</f>
        <v>0</v>
      </c>
      <c r="F72" s="6">
        <f>0</f>
        <v>0</v>
      </c>
      <c r="H72" s="9"/>
    </row>
    <row r="73" spans="1:8" s="4" customFormat="1" ht="15">
      <c r="A73" s="8" t="s">
        <v>36</v>
      </c>
      <c r="B73" s="6">
        <v>0</v>
      </c>
      <c r="C73" s="6">
        <v>0</v>
      </c>
      <c r="D73" s="6">
        <v>0</v>
      </c>
      <c r="E73" s="6">
        <f>0</f>
        <v>0</v>
      </c>
      <c r="F73" s="6">
        <f>0</f>
        <v>0</v>
      </c>
      <c r="H73" s="9"/>
    </row>
    <row r="74" spans="1:8" s="4" customFormat="1" ht="15">
      <c r="A74" s="8" t="s">
        <v>37</v>
      </c>
      <c r="B74" s="6">
        <v>0</v>
      </c>
      <c r="C74" s="6">
        <v>0</v>
      </c>
      <c r="D74" s="6">
        <v>0</v>
      </c>
      <c r="E74" s="6">
        <f>0</f>
        <v>0</v>
      </c>
      <c r="F74" s="6">
        <f>0</f>
        <v>0</v>
      </c>
      <c r="H74" s="9"/>
    </row>
    <row r="75" spans="1:8" s="4" customFormat="1" ht="15">
      <c r="A75" s="8" t="s">
        <v>38</v>
      </c>
      <c r="B75" s="6">
        <v>0</v>
      </c>
      <c r="C75" s="6">
        <v>0</v>
      </c>
      <c r="D75" s="6">
        <v>0</v>
      </c>
      <c r="E75" s="6">
        <f>0</f>
        <v>0</v>
      </c>
      <c r="F75" s="6">
        <f>0</f>
        <v>0</v>
      </c>
      <c r="H75" s="9"/>
    </row>
    <row r="76" spans="1:8" s="4" customFormat="1" ht="15">
      <c r="A76" s="8" t="s">
        <v>39</v>
      </c>
      <c r="B76" s="6">
        <v>0</v>
      </c>
      <c r="C76" s="6">
        <v>0</v>
      </c>
      <c r="D76" s="6">
        <v>0</v>
      </c>
      <c r="E76" s="6">
        <f>0</f>
        <v>0</v>
      </c>
      <c r="F76" s="6">
        <f>0</f>
        <v>0</v>
      </c>
      <c r="H76" s="9"/>
    </row>
    <row r="77" spans="1:8" s="4" customFormat="1" ht="15">
      <c r="A77" s="8" t="s">
        <v>40</v>
      </c>
      <c r="B77" s="54">
        <v>0</v>
      </c>
      <c r="C77" s="54">
        <v>0</v>
      </c>
      <c r="D77" s="54">
        <v>0</v>
      </c>
      <c r="E77" s="54">
        <f>0</f>
        <v>0</v>
      </c>
      <c r="F77" s="54">
        <f>0</f>
        <v>0</v>
      </c>
      <c r="H77" s="9"/>
    </row>
    <row r="78" spans="1:8" s="4" customFormat="1" ht="15">
      <c r="A78" s="8" t="s">
        <v>42</v>
      </c>
      <c r="B78" s="54">
        <f>SUM(B72:B77)</f>
        <v>0</v>
      </c>
      <c r="C78" s="54">
        <f>SUM(C72:C77)</f>
        <v>0</v>
      </c>
      <c r="D78" s="54">
        <f>SUM(D72:D77)</f>
        <v>0</v>
      </c>
      <c r="E78" s="54">
        <f>SUM(E72:E77)</f>
        <v>0</v>
      </c>
      <c r="F78" s="54">
        <f>SUM(F72:F77)</f>
        <v>0</v>
      </c>
      <c r="H78" s="9"/>
    </row>
    <row r="79" spans="1:8" s="4" customFormat="1" ht="15">
      <c r="A79" s="8"/>
      <c r="B79" s="54"/>
      <c r="C79" s="54"/>
      <c r="D79" s="54"/>
      <c r="E79" s="54"/>
      <c r="F79" s="54"/>
      <c r="H79" s="9"/>
    </row>
    <row r="80" spans="1:8" s="4" customFormat="1" ht="15">
      <c r="A80" s="7" t="s">
        <v>49</v>
      </c>
      <c r="B80" s="6"/>
      <c r="C80" s="6"/>
      <c r="D80" s="6"/>
      <c r="E80" s="6"/>
      <c r="F80" s="6"/>
      <c r="H80" s="9"/>
    </row>
    <row r="81" spans="1:8" s="4" customFormat="1" ht="15">
      <c r="A81" s="8" t="s">
        <v>35</v>
      </c>
      <c r="B81" s="6">
        <v>0</v>
      </c>
      <c r="C81" s="6">
        <v>0</v>
      </c>
      <c r="D81" s="6">
        <v>0</v>
      </c>
      <c r="E81" s="6">
        <f>0</f>
        <v>0</v>
      </c>
      <c r="F81" s="6">
        <f>0</f>
        <v>0</v>
      </c>
      <c r="H81" s="9"/>
    </row>
    <row r="82" spans="1:8" s="4" customFormat="1" ht="15">
      <c r="A82" s="8" t="s">
        <v>36</v>
      </c>
      <c r="B82" s="6">
        <v>0</v>
      </c>
      <c r="C82" s="6">
        <v>0</v>
      </c>
      <c r="D82" s="6">
        <v>0</v>
      </c>
      <c r="E82" s="6">
        <f>0</f>
        <v>0</v>
      </c>
      <c r="F82" s="6">
        <f>0</f>
        <v>0</v>
      </c>
      <c r="H82" s="9"/>
    </row>
    <row r="83" spans="1:8" s="4" customFormat="1" ht="15">
      <c r="A83" s="8" t="s">
        <v>37</v>
      </c>
      <c r="B83" s="6">
        <v>0</v>
      </c>
      <c r="C83" s="6">
        <v>0</v>
      </c>
      <c r="D83" s="6">
        <v>0</v>
      </c>
      <c r="E83" s="6">
        <f>0</f>
        <v>0</v>
      </c>
      <c r="F83" s="6">
        <f>0</f>
        <v>0</v>
      </c>
      <c r="H83" s="9"/>
    </row>
    <row r="84" spans="1:8" s="4" customFormat="1" ht="15">
      <c r="A84" s="8" t="s">
        <v>38</v>
      </c>
      <c r="B84" s="6">
        <v>0</v>
      </c>
      <c r="C84" s="6">
        <v>0</v>
      </c>
      <c r="D84" s="6">
        <v>0</v>
      </c>
      <c r="E84" s="6">
        <f>0</f>
        <v>0</v>
      </c>
      <c r="F84" s="6">
        <f>0</f>
        <v>0</v>
      </c>
      <c r="H84" s="9"/>
    </row>
    <row r="85" spans="1:8" s="4" customFormat="1" ht="15">
      <c r="A85" s="8" t="s">
        <v>39</v>
      </c>
      <c r="B85" s="6">
        <v>0</v>
      </c>
      <c r="C85" s="6">
        <v>0</v>
      </c>
      <c r="D85" s="6">
        <v>0</v>
      </c>
      <c r="E85" s="6">
        <f>0</f>
        <v>0</v>
      </c>
      <c r="F85" s="6">
        <f>0</f>
        <v>0</v>
      </c>
      <c r="H85" s="9"/>
    </row>
    <row r="86" spans="1:8" s="4" customFormat="1" ht="15">
      <c r="A86" s="8" t="s">
        <v>40</v>
      </c>
      <c r="B86" s="54">
        <v>0</v>
      </c>
      <c r="C86" s="54">
        <v>0</v>
      </c>
      <c r="D86" s="54">
        <v>0</v>
      </c>
      <c r="E86" s="54">
        <f>0</f>
        <v>0</v>
      </c>
      <c r="F86" s="54">
        <f>0</f>
        <v>0</v>
      </c>
      <c r="H86" s="9"/>
    </row>
    <row r="87" spans="1:8" s="4" customFormat="1" ht="15">
      <c r="A87" s="8" t="s">
        <v>42</v>
      </c>
      <c r="B87" s="54">
        <f>SUM(B81:B86)</f>
        <v>0</v>
      </c>
      <c r="C87" s="54">
        <f>SUM(C81:C86)</f>
        <v>0</v>
      </c>
      <c r="D87" s="54">
        <f>SUM(D81:D86)</f>
        <v>0</v>
      </c>
      <c r="E87" s="54">
        <f>SUM(E81:E86)</f>
        <v>0</v>
      </c>
      <c r="F87" s="54">
        <f>SUM(F81:F86)</f>
        <v>0</v>
      </c>
      <c r="H87" s="9"/>
    </row>
    <row r="88" spans="1:8" s="4" customFormat="1" ht="15">
      <c r="A88" s="7"/>
      <c r="B88" s="54"/>
      <c r="C88" s="54"/>
      <c r="D88" s="54"/>
      <c r="E88" s="54"/>
      <c r="F88" s="54"/>
      <c r="H88" s="9"/>
    </row>
    <row r="89" spans="1:8" s="4" customFormat="1" ht="15">
      <c r="A89" s="7" t="s">
        <v>50</v>
      </c>
      <c r="B89" s="6"/>
      <c r="C89" s="6"/>
      <c r="D89" s="6"/>
      <c r="E89" s="6"/>
      <c r="F89" s="6"/>
      <c r="H89" s="9"/>
    </row>
    <row r="90" spans="1:8" s="4" customFormat="1" ht="15">
      <c r="A90" s="8" t="s">
        <v>35</v>
      </c>
      <c r="B90" s="6">
        <v>0</v>
      </c>
      <c r="C90" s="6">
        <v>0</v>
      </c>
      <c r="D90" s="6">
        <v>0</v>
      </c>
      <c r="E90" s="6">
        <f>0</f>
        <v>0</v>
      </c>
      <c r="F90" s="6">
        <f>0</f>
        <v>0</v>
      </c>
      <c r="H90" s="9"/>
    </row>
    <row r="91" spans="1:8" s="4" customFormat="1" ht="15">
      <c r="A91" s="8" t="s">
        <v>36</v>
      </c>
      <c r="B91" s="6">
        <v>0</v>
      </c>
      <c r="C91" s="6">
        <v>0</v>
      </c>
      <c r="D91" s="6">
        <v>0</v>
      </c>
      <c r="E91" s="6">
        <f>0</f>
        <v>0</v>
      </c>
      <c r="F91" s="6">
        <f>0</f>
        <v>0</v>
      </c>
      <c r="H91" s="9"/>
    </row>
    <row r="92" spans="1:8" s="4" customFormat="1" ht="15">
      <c r="A92" s="8" t="s">
        <v>37</v>
      </c>
      <c r="B92" s="6">
        <v>0</v>
      </c>
      <c r="C92" s="6">
        <v>0</v>
      </c>
      <c r="D92" s="6">
        <v>0</v>
      </c>
      <c r="E92" s="6">
        <f>0</f>
        <v>0</v>
      </c>
      <c r="F92" s="6">
        <f>0</f>
        <v>0</v>
      </c>
      <c r="H92" s="9"/>
    </row>
    <row r="93" spans="1:8" s="4" customFormat="1" ht="15">
      <c r="A93" s="8" t="s">
        <v>38</v>
      </c>
      <c r="B93" s="6">
        <v>0</v>
      </c>
      <c r="C93" s="6">
        <v>0</v>
      </c>
      <c r="D93" s="6">
        <v>0</v>
      </c>
      <c r="E93" s="6">
        <f>0</f>
        <v>0</v>
      </c>
      <c r="F93" s="6">
        <f>0</f>
        <v>0</v>
      </c>
      <c r="H93" s="9"/>
    </row>
    <row r="94" spans="1:8" s="4" customFormat="1" ht="15">
      <c r="A94" s="8" t="s">
        <v>39</v>
      </c>
      <c r="B94" s="6">
        <v>0</v>
      </c>
      <c r="C94" s="6">
        <v>0</v>
      </c>
      <c r="D94" s="6">
        <v>0</v>
      </c>
      <c r="E94" s="6">
        <f>0</f>
        <v>0</v>
      </c>
      <c r="F94" s="6">
        <f>0</f>
        <v>0</v>
      </c>
      <c r="H94" s="9"/>
    </row>
    <row r="95" spans="1:8" s="4" customFormat="1" ht="15">
      <c r="A95" s="8" t="s">
        <v>40</v>
      </c>
      <c r="B95" s="54">
        <v>0</v>
      </c>
      <c r="C95" s="54">
        <v>0</v>
      </c>
      <c r="D95" s="54">
        <v>0</v>
      </c>
      <c r="E95" s="54">
        <f>0</f>
        <v>0</v>
      </c>
      <c r="F95" s="54">
        <f>0</f>
        <v>0</v>
      </c>
      <c r="H95" s="9"/>
    </row>
    <row r="96" spans="1:8" s="4" customFormat="1" ht="15">
      <c r="A96" s="8" t="s">
        <v>42</v>
      </c>
      <c r="B96" s="54">
        <f>SUM(B90:B95)</f>
        <v>0</v>
      </c>
      <c r="C96" s="54">
        <f>SUM(C90:C95)</f>
        <v>0</v>
      </c>
      <c r="D96" s="54">
        <f>SUM(D90:D95)</f>
        <v>0</v>
      </c>
      <c r="E96" s="54">
        <f>SUM(E90:E95)</f>
        <v>0</v>
      </c>
      <c r="F96" s="54">
        <f>SUM(F90:F95)</f>
        <v>0</v>
      </c>
      <c r="H96" s="9"/>
    </row>
    <row r="97" spans="1:8" s="4" customFormat="1" ht="15">
      <c r="A97" s="7"/>
      <c r="B97" s="6"/>
      <c r="C97" s="6"/>
      <c r="D97" s="6"/>
      <c r="E97" s="6"/>
      <c r="F97" s="6"/>
      <c r="H97" s="9"/>
    </row>
    <row r="98" spans="1:8" s="4" customFormat="1" ht="15">
      <c r="A98" s="7" t="s">
        <v>51</v>
      </c>
      <c r="B98" s="6"/>
      <c r="C98" s="6"/>
      <c r="D98" s="6"/>
      <c r="E98" s="6"/>
      <c r="F98" s="6"/>
      <c r="H98" s="9"/>
    </row>
    <row r="99" spans="1:8" s="4" customFormat="1" ht="15">
      <c r="A99" s="8" t="s">
        <v>35</v>
      </c>
      <c r="B99" s="6">
        <v>0</v>
      </c>
      <c r="C99" s="6">
        <v>0</v>
      </c>
      <c r="D99" s="6">
        <v>0</v>
      </c>
      <c r="E99" s="6">
        <f>0</f>
        <v>0</v>
      </c>
      <c r="F99" s="6">
        <f>0</f>
        <v>0</v>
      </c>
      <c r="H99" s="9"/>
    </row>
    <row r="100" spans="1:8" s="4" customFormat="1" ht="15">
      <c r="A100" s="8" t="s">
        <v>36</v>
      </c>
      <c r="B100" s="6">
        <v>0</v>
      </c>
      <c r="C100" s="6">
        <v>0</v>
      </c>
      <c r="D100" s="6">
        <v>0</v>
      </c>
      <c r="E100" s="6">
        <f>0</f>
        <v>0</v>
      </c>
      <c r="F100" s="6">
        <f>0</f>
        <v>0</v>
      </c>
      <c r="H100" s="9"/>
    </row>
    <row r="101" spans="1:8" s="4" customFormat="1" ht="15">
      <c r="A101" s="8" t="s">
        <v>37</v>
      </c>
      <c r="B101" s="6">
        <v>0</v>
      </c>
      <c r="C101" s="6">
        <v>0</v>
      </c>
      <c r="D101" s="6">
        <v>0</v>
      </c>
      <c r="E101" s="6">
        <f>0</f>
        <v>0</v>
      </c>
      <c r="F101" s="6">
        <f>0</f>
        <v>0</v>
      </c>
      <c r="H101" s="9"/>
    </row>
    <row r="102" spans="1:8" s="4" customFormat="1" ht="15">
      <c r="A102" s="8" t="s">
        <v>38</v>
      </c>
      <c r="B102" s="6">
        <v>0</v>
      </c>
      <c r="C102" s="6">
        <v>0</v>
      </c>
      <c r="D102" s="6">
        <v>0</v>
      </c>
      <c r="E102" s="6">
        <f>0</f>
        <v>0</v>
      </c>
      <c r="F102" s="6">
        <f>0</f>
        <v>0</v>
      </c>
      <c r="H102" s="9"/>
    </row>
    <row r="103" spans="1:8" s="4" customFormat="1" ht="15">
      <c r="A103" s="8" t="s">
        <v>39</v>
      </c>
      <c r="B103" s="6">
        <v>0</v>
      </c>
      <c r="C103" s="6">
        <v>0</v>
      </c>
      <c r="D103" s="6">
        <v>0</v>
      </c>
      <c r="E103" s="6">
        <f>0</f>
        <v>0</v>
      </c>
      <c r="F103" s="6">
        <f>0</f>
        <v>0</v>
      </c>
      <c r="H103" s="9"/>
    </row>
    <row r="104" spans="1:8" s="4" customFormat="1" ht="15">
      <c r="A104" s="8" t="s">
        <v>40</v>
      </c>
      <c r="B104" s="54">
        <v>0</v>
      </c>
      <c r="C104" s="54">
        <v>0</v>
      </c>
      <c r="D104" s="54">
        <v>0</v>
      </c>
      <c r="E104" s="54">
        <f>0</f>
        <v>0</v>
      </c>
      <c r="F104" s="54">
        <f>0</f>
        <v>0</v>
      </c>
      <c r="H104" s="9"/>
    </row>
    <row r="105" spans="1:8" s="4" customFormat="1" ht="15">
      <c r="A105" s="8" t="s">
        <v>42</v>
      </c>
      <c r="B105" s="54">
        <f>SUM(B99:B104)</f>
        <v>0</v>
      </c>
      <c r="C105" s="54">
        <f>SUM(C99:C104)</f>
        <v>0</v>
      </c>
      <c r="D105" s="54">
        <f>SUM(D99:D104)</f>
        <v>0</v>
      </c>
      <c r="E105" s="54">
        <f>SUM(E99:E104)</f>
        <v>0</v>
      </c>
      <c r="F105" s="54">
        <f>SUM(F99:F104)</f>
        <v>0</v>
      </c>
      <c r="H105" s="9"/>
    </row>
    <row r="106" spans="1:8" s="4" customFormat="1" ht="15">
      <c r="A106" s="7"/>
      <c r="B106" s="6"/>
      <c r="C106" s="6"/>
      <c r="D106" s="6"/>
      <c r="E106" s="6"/>
      <c r="F106" s="6"/>
      <c r="H106" s="9"/>
    </row>
    <row r="107" spans="1:8" s="4" customFormat="1" ht="15">
      <c r="A107" s="7" t="s">
        <v>52</v>
      </c>
      <c r="B107" s="6"/>
      <c r="C107" s="6"/>
      <c r="D107" s="6"/>
      <c r="E107" s="6"/>
      <c r="F107" s="6"/>
      <c r="H107" s="9"/>
    </row>
    <row r="108" spans="1:8" s="4" customFormat="1" ht="15">
      <c r="A108" s="8" t="s">
        <v>35</v>
      </c>
      <c r="B108" s="6">
        <v>0</v>
      </c>
      <c r="C108" s="6">
        <v>0</v>
      </c>
      <c r="D108" s="6">
        <v>0</v>
      </c>
      <c r="E108" s="6">
        <f>0</f>
        <v>0</v>
      </c>
      <c r="F108" s="6">
        <f>0</f>
        <v>0</v>
      </c>
      <c r="H108" s="9"/>
    </row>
    <row r="109" spans="1:8" s="4" customFormat="1" ht="15">
      <c r="A109" s="8" t="s">
        <v>36</v>
      </c>
      <c r="B109" s="6">
        <v>0</v>
      </c>
      <c r="C109" s="6">
        <v>0</v>
      </c>
      <c r="D109" s="6">
        <v>0</v>
      </c>
      <c r="E109" s="6">
        <f>0</f>
        <v>0</v>
      </c>
      <c r="F109" s="6">
        <f>0</f>
        <v>0</v>
      </c>
      <c r="H109" s="9"/>
    </row>
    <row r="110" spans="1:8" s="4" customFormat="1" ht="15">
      <c r="A110" s="8" t="s">
        <v>37</v>
      </c>
      <c r="B110" s="6">
        <v>0</v>
      </c>
      <c r="C110" s="6">
        <v>0</v>
      </c>
      <c r="D110" s="6">
        <v>0</v>
      </c>
      <c r="E110" s="6">
        <f>0</f>
        <v>0</v>
      </c>
      <c r="F110" s="6">
        <f>0</f>
        <v>0</v>
      </c>
      <c r="H110" s="9"/>
    </row>
    <row r="111" spans="1:8" s="4" customFormat="1" ht="15">
      <c r="A111" s="8" t="s">
        <v>38</v>
      </c>
      <c r="B111" s="6">
        <v>0</v>
      </c>
      <c r="C111" s="6">
        <v>0</v>
      </c>
      <c r="D111" s="6">
        <v>0</v>
      </c>
      <c r="E111" s="6">
        <f>0</f>
        <v>0</v>
      </c>
      <c r="F111" s="6">
        <f>0</f>
        <v>0</v>
      </c>
      <c r="H111" s="9"/>
    </row>
    <row r="112" spans="1:8" s="4" customFormat="1" ht="15">
      <c r="A112" s="8" t="s">
        <v>39</v>
      </c>
      <c r="B112" s="6">
        <v>0</v>
      </c>
      <c r="C112" s="6">
        <v>0</v>
      </c>
      <c r="D112" s="6">
        <v>0</v>
      </c>
      <c r="E112" s="6">
        <f>0</f>
        <v>0</v>
      </c>
      <c r="F112" s="6">
        <f>0</f>
        <v>0</v>
      </c>
      <c r="H112" s="9"/>
    </row>
    <row r="113" spans="1:8" s="4" customFormat="1" ht="15">
      <c r="A113" s="8" t="s">
        <v>40</v>
      </c>
      <c r="B113" s="54">
        <v>0</v>
      </c>
      <c r="C113" s="54">
        <v>0</v>
      </c>
      <c r="D113" s="54">
        <v>0</v>
      </c>
      <c r="E113" s="54">
        <f>0</f>
        <v>0</v>
      </c>
      <c r="F113" s="54">
        <f>0</f>
        <v>0</v>
      </c>
      <c r="H113" s="9"/>
    </row>
    <row r="114" spans="1:8" s="4" customFormat="1" ht="15">
      <c r="A114" s="8" t="s">
        <v>42</v>
      </c>
      <c r="B114" s="54">
        <f>SUM(B108:B113)</f>
        <v>0</v>
      </c>
      <c r="C114" s="54">
        <f>SUM(C108:C113)</f>
        <v>0</v>
      </c>
      <c r="D114" s="54">
        <f>SUM(D108:D113)</f>
        <v>0</v>
      </c>
      <c r="E114" s="54">
        <f>SUM(E108:E113)</f>
        <v>0</v>
      </c>
      <c r="F114" s="54">
        <f>SUM(F108:F113)</f>
        <v>0</v>
      </c>
      <c r="H114" s="9"/>
    </row>
    <row r="115" spans="1:8" s="4" customFormat="1" ht="15">
      <c r="A115" s="7"/>
      <c r="B115" s="6"/>
      <c r="C115" s="6"/>
      <c r="D115" s="6"/>
      <c r="E115" s="6"/>
      <c r="F115" s="6"/>
      <c r="H115" s="9"/>
    </row>
    <row r="116" spans="1:8" s="4" customFormat="1" ht="15">
      <c r="A116" s="7" t="s">
        <v>53</v>
      </c>
      <c r="B116" s="6"/>
      <c r="C116" s="6"/>
      <c r="D116" s="6"/>
      <c r="E116" s="6"/>
      <c r="F116" s="6"/>
      <c r="H116" s="9"/>
    </row>
    <row r="117" spans="1:8" s="4" customFormat="1" ht="15">
      <c r="A117" s="8" t="s">
        <v>35</v>
      </c>
      <c r="B117" s="6">
        <v>0</v>
      </c>
      <c r="C117" s="6">
        <v>0</v>
      </c>
      <c r="D117" s="6">
        <v>0</v>
      </c>
      <c r="E117" s="6">
        <f>0</f>
        <v>0</v>
      </c>
      <c r="F117" s="6">
        <f>0</f>
        <v>0</v>
      </c>
      <c r="H117" s="9"/>
    </row>
    <row r="118" spans="1:8" s="4" customFormat="1" ht="15">
      <c r="A118" s="8" t="s">
        <v>36</v>
      </c>
      <c r="B118" s="6">
        <v>0</v>
      </c>
      <c r="C118" s="6">
        <v>0</v>
      </c>
      <c r="D118" s="6">
        <v>0</v>
      </c>
      <c r="E118" s="6">
        <f>0</f>
        <v>0</v>
      </c>
      <c r="F118" s="6">
        <f>0</f>
        <v>0</v>
      </c>
      <c r="H118" s="9"/>
    </row>
    <row r="119" spans="1:8" s="4" customFormat="1" ht="15">
      <c r="A119" s="8" t="s">
        <v>37</v>
      </c>
      <c r="B119" s="6">
        <v>0</v>
      </c>
      <c r="C119" s="6">
        <v>0</v>
      </c>
      <c r="D119" s="6">
        <v>0</v>
      </c>
      <c r="E119" s="6">
        <f>0</f>
        <v>0</v>
      </c>
      <c r="F119" s="6">
        <f>0</f>
        <v>0</v>
      </c>
      <c r="H119" s="9"/>
    </row>
    <row r="120" spans="1:8" s="4" customFormat="1" ht="15">
      <c r="A120" s="8" t="s">
        <v>38</v>
      </c>
      <c r="B120" s="6">
        <v>0</v>
      </c>
      <c r="C120" s="6">
        <v>0</v>
      </c>
      <c r="D120" s="6">
        <v>0</v>
      </c>
      <c r="E120" s="6">
        <f>0</f>
        <v>0</v>
      </c>
      <c r="F120" s="6">
        <f>0</f>
        <v>0</v>
      </c>
      <c r="H120" s="9"/>
    </row>
    <row r="121" spans="1:8" s="4" customFormat="1" ht="15">
      <c r="A121" s="8" t="s">
        <v>39</v>
      </c>
      <c r="B121" s="6">
        <v>0</v>
      </c>
      <c r="C121" s="6">
        <v>0</v>
      </c>
      <c r="D121" s="6">
        <v>0</v>
      </c>
      <c r="E121" s="6">
        <f>0</f>
        <v>0</v>
      </c>
      <c r="F121" s="6">
        <f>0</f>
        <v>0</v>
      </c>
      <c r="H121" s="9"/>
    </row>
    <row r="122" spans="1:8" s="4" customFormat="1" ht="15">
      <c r="A122" s="8" t="s">
        <v>40</v>
      </c>
      <c r="B122" s="54">
        <v>0</v>
      </c>
      <c r="C122" s="54">
        <v>0</v>
      </c>
      <c r="D122" s="54">
        <v>0</v>
      </c>
      <c r="E122" s="54">
        <f>0</f>
        <v>0</v>
      </c>
      <c r="F122" s="54">
        <f>0</f>
        <v>0</v>
      </c>
      <c r="H122" s="9"/>
    </row>
    <row r="123" spans="1:8" s="4" customFormat="1" ht="15">
      <c r="A123" s="8" t="s">
        <v>42</v>
      </c>
      <c r="B123" s="54">
        <f>SUM(B117:B122)</f>
        <v>0</v>
      </c>
      <c r="C123" s="54">
        <f>SUM(C117:C122)</f>
        <v>0</v>
      </c>
      <c r="D123" s="54">
        <f>SUM(D117:D122)</f>
        <v>0</v>
      </c>
      <c r="E123" s="54">
        <f>SUM(E117:E122)</f>
        <v>0</v>
      </c>
      <c r="F123" s="54">
        <f>SUM(F117:F122)</f>
        <v>0</v>
      </c>
      <c r="H123" s="9"/>
    </row>
    <row r="124" spans="1:8" s="4" customFormat="1" ht="15">
      <c r="A124" s="7"/>
      <c r="B124" s="54"/>
      <c r="C124" s="54"/>
      <c r="D124" s="54"/>
      <c r="E124" s="54"/>
      <c r="F124" s="54"/>
      <c r="H124" s="9"/>
    </row>
    <row r="125" spans="1:8" s="4" customFormat="1" ht="15">
      <c r="A125" s="7" t="s">
        <v>55</v>
      </c>
      <c r="B125" s="6"/>
      <c r="C125" s="6"/>
      <c r="D125" s="6"/>
      <c r="E125" s="6"/>
      <c r="F125" s="6"/>
      <c r="H125" s="9"/>
    </row>
    <row r="126" spans="1:8" s="4" customFormat="1" ht="15">
      <c r="A126" s="8" t="s">
        <v>35</v>
      </c>
      <c r="B126" s="6">
        <v>0</v>
      </c>
      <c r="C126" s="6">
        <v>0</v>
      </c>
      <c r="D126" s="6">
        <v>0</v>
      </c>
      <c r="E126" s="6">
        <f>0</f>
        <v>0</v>
      </c>
      <c r="F126" s="6">
        <f>0</f>
        <v>0</v>
      </c>
      <c r="H126" s="9"/>
    </row>
    <row r="127" spans="1:8" s="4" customFormat="1" ht="15">
      <c r="A127" s="8" t="s">
        <v>36</v>
      </c>
      <c r="B127" s="6">
        <v>0</v>
      </c>
      <c r="C127" s="6">
        <v>0</v>
      </c>
      <c r="D127" s="6">
        <v>0</v>
      </c>
      <c r="E127" s="6">
        <f>0</f>
        <v>0</v>
      </c>
      <c r="F127" s="6">
        <f>0</f>
        <v>0</v>
      </c>
      <c r="H127" s="9"/>
    </row>
    <row r="128" spans="1:8" s="4" customFormat="1" ht="15">
      <c r="A128" s="8" t="s">
        <v>37</v>
      </c>
      <c r="B128" s="6">
        <v>0</v>
      </c>
      <c r="C128" s="6">
        <v>0</v>
      </c>
      <c r="D128" s="6">
        <v>0</v>
      </c>
      <c r="E128" s="6">
        <f>0</f>
        <v>0</v>
      </c>
      <c r="F128" s="6">
        <f>0</f>
        <v>0</v>
      </c>
      <c r="H128" s="9"/>
    </row>
    <row r="129" spans="1:8" s="4" customFormat="1" ht="15">
      <c r="A129" s="8" t="s">
        <v>38</v>
      </c>
      <c r="B129" s="6">
        <v>0</v>
      </c>
      <c r="C129" s="6">
        <v>0</v>
      </c>
      <c r="D129" s="6">
        <v>0</v>
      </c>
      <c r="E129" s="6">
        <f>0</f>
        <v>0</v>
      </c>
      <c r="F129" s="6">
        <f>0</f>
        <v>0</v>
      </c>
      <c r="H129" s="9"/>
    </row>
    <row r="130" spans="1:8" s="4" customFormat="1" ht="15">
      <c r="A130" s="8" t="s">
        <v>39</v>
      </c>
      <c r="B130" s="6">
        <v>0</v>
      </c>
      <c r="C130" s="6">
        <v>0</v>
      </c>
      <c r="D130" s="6">
        <v>0</v>
      </c>
      <c r="E130" s="6">
        <f>0</f>
        <v>0</v>
      </c>
      <c r="F130" s="6">
        <f>0</f>
        <v>0</v>
      </c>
      <c r="H130" s="9"/>
    </row>
    <row r="131" spans="1:8" s="4" customFormat="1" ht="15">
      <c r="A131" s="8" t="s">
        <v>40</v>
      </c>
      <c r="B131" s="54">
        <v>0</v>
      </c>
      <c r="C131" s="54">
        <v>0</v>
      </c>
      <c r="D131" s="54">
        <v>0</v>
      </c>
      <c r="E131" s="54">
        <f>0</f>
        <v>0</v>
      </c>
      <c r="F131" s="54">
        <f>0</f>
        <v>0</v>
      </c>
      <c r="H131" s="9"/>
    </row>
    <row r="132" spans="1:8" s="4" customFormat="1" ht="15">
      <c r="A132" s="8" t="s">
        <v>42</v>
      </c>
      <c r="B132" s="54">
        <f>SUM(B126:B131)</f>
        <v>0</v>
      </c>
      <c r="C132" s="54">
        <f>SUM(C126:C131)</f>
        <v>0</v>
      </c>
      <c r="D132" s="54">
        <f>SUM(D126:D131)</f>
        <v>0</v>
      </c>
      <c r="E132" s="54">
        <f>SUM(E126:E131)</f>
        <v>0</v>
      </c>
      <c r="F132" s="54">
        <f>SUM(F126:F131)</f>
        <v>0</v>
      </c>
      <c r="H132" s="9"/>
    </row>
    <row r="133" spans="1:8" s="4" customFormat="1" ht="15">
      <c r="A133" s="7"/>
      <c r="B133" s="6"/>
      <c r="C133" s="6"/>
      <c r="D133" s="6"/>
      <c r="E133" s="6"/>
      <c r="F133" s="6"/>
      <c r="H133" s="9"/>
    </row>
    <row r="134" spans="1:8" s="4" customFormat="1" ht="15">
      <c r="A134" s="7" t="s">
        <v>56</v>
      </c>
      <c r="B134" s="6"/>
      <c r="C134" s="6"/>
      <c r="D134" s="6"/>
      <c r="E134" s="6"/>
      <c r="F134" s="6"/>
      <c r="H134" s="9"/>
    </row>
    <row r="135" spans="1:8" s="4" customFormat="1" ht="15">
      <c r="A135" s="8" t="s">
        <v>35</v>
      </c>
      <c r="B135" s="6">
        <v>0</v>
      </c>
      <c r="C135" s="6">
        <v>0</v>
      </c>
      <c r="D135" s="6">
        <v>0</v>
      </c>
      <c r="E135" s="6">
        <f>0</f>
        <v>0</v>
      </c>
      <c r="F135" s="6">
        <f>0</f>
        <v>0</v>
      </c>
      <c r="H135" s="9"/>
    </row>
    <row r="136" spans="1:8" s="4" customFormat="1" ht="15">
      <c r="A136" s="8" t="s">
        <v>36</v>
      </c>
      <c r="B136" s="6">
        <v>0</v>
      </c>
      <c r="C136" s="6">
        <v>0</v>
      </c>
      <c r="D136" s="6">
        <v>0</v>
      </c>
      <c r="E136" s="6">
        <f>0</f>
        <v>0</v>
      </c>
      <c r="F136" s="6">
        <f>0</f>
        <v>0</v>
      </c>
      <c r="H136" s="9"/>
    </row>
    <row r="137" spans="1:8" s="4" customFormat="1" ht="15">
      <c r="A137" s="8" t="s">
        <v>37</v>
      </c>
      <c r="B137" s="6">
        <v>0</v>
      </c>
      <c r="C137" s="6">
        <v>0</v>
      </c>
      <c r="D137" s="6">
        <v>0</v>
      </c>
      <c r="E137" s="6">
        <f>0</f>
        <v>0</v>
      </c>
      <c r="F137" s="6">
        <f>0</f>
        <v>0</v>
      </c>
      <c r="H137" s="9"/>
    </row>
    <row r="138" spans="1:8" s="4" customFormat="1" ht="15">
      <c r="A138" s="8" t="s">
        <v>38</v>
      </c>
      <c r="B138" s="6">
        <v>0</v>
      </c>
      <c r="C138" s="6">
        <v>0</v>
      </c>
      <c r="D138" s="6">
        <v>0</v>
      </c>
      <c r="E138" s="6">
        <f>0</f>
        <v>0</v>
      </c>
      <c r="F138" s="6">
        <f>0</f>
        <v>0</v>
      </c>
      <c r="H138" s="9"/>
    </row>
    <row r="139" spans="1:8" s="4" customFormat="1" ht="15">
      <c r="A139" s="8" t="s">
        <v>39</v>
      </c>
      <c r="B139" s="6">
        <v>0</v>
      </c>
      <c r="C139" s="6">
        <v>0</v>
      </c>
      <c r="D139" s="6">
        <v>0</v>
      </c>
      <c r="E139" s="6">
        <f>0</f>
        <v>0</v>
      </c>
      <c r="F139" s="6">
        <f>0</f>
        <v>0</v>
      </c>
      <c r="H139" s="9"/>
    </row>
    <row r="140" spans="1:8" s="4" customFormat="1" ht="15">
      <c r="A140" s="8" t="s">
        <v>40</v>
      </c>
      <c r="B140" s="54">
        <v>0</v>
      </c>
      <c r="C140" s="54">
        <v>0</v>
      </c>
      <c r="D140" s="54">
        <v>0</v>
      </c>
      <c r="E140" s="54">
        <f>0</f>
        <v>0</v>
      </c>
      <c r="F140" s="54">
        <f>0</f>
        <v>0</v>
      </c>
      <c r="H140" s="9"/>
    </row>
    <row r="141" spans="1:8" s="4" customFormat="1" ht="15">
      <c r="A141" s="8" t="s">
        <v>42</v>
      </c>
      <c r="B141" s="54">
        <f>SUM(B135:B140)</f>
        <v>0</v>
      </c>
      <c r="C141" s="54">
        <f>SUM(C135:C140)</f>
        <v>0</v>
      </c>
      <c r="D141" s="54">
        <f>SUM(D135:D140)</f>
        <v>0</v>
      </c>
      <c r="E141" s="54">
        <f>SUM(E135:E140)</f>
        <v>0</v>
      </c>
      <c r="F141" s="54">
        <f>SUM(F135:F140)</f>
        <v>0</v>
      </c>
      <c r="H141" s="9"/>
    </row>
    <row r="142" spans="1:8" s="4" customFormat="1" ht="15">
      <c r="A142" s="7"/>
      <c r="B142" s="6"/>
      <c r="C142" s="6"/>
      <c r="D142" s="6"/>
      <c r="E142" s="6"/>
      <c r="F142" s="6"/>
      <c r="H142" s="9"/>
    </row>
    <row r="143" spans="1:8" s="4" customFormat="1" ht="15">
      <c r="A143" s="7" t="s">
        <v>57</v>
      </c>
      <c r="B143" s="6"/>
      <c r="C143" s="6"/>
      <c r="D143" s="6"/>
      <c r="E143" s="6"/>
      <c r="F143" s="6"/>
      <c r="H143" s="9"/>
    </row>
    <row r="144" spans="1:8" s="4" customFormat="1" ht="15">
      <c r="A144" s="8" t="s">
        <v>35</v>
      </c>
      <c r="B144" s="6">
        <v>0</v>
      </c>
      <c r="C144" s="6">
        <v>0</v>
      </c>
      <c r="D144" s="6">
        <v>0</v>
      </c>
      <c r="E144" s="6">
        <f>0</f>
        <v>0</v>
      </c>
      <c r="F144" s="6">
        <f>0</f>
        <v>0</v>
      </c>
      <c r="H144" s="9"/>
    </row>
    <row r="145" spans="1:8" s="4" customFormat="1" ht="15">
      <c r="A145" s="8" t="s">
        <v>36</v>
      </c>
      <c r="B145" s="6">
        <v>0</v>
      </c>
      <c r="C145" s="6">
        <v>0</v>
      </c>
      <c r="D145" s="6">
        <v>0</v>
      </c>
      <c r="E145" s="6">
        <f>0</f>
        <v>0</v>
      </c>
      <c r="F145" s="6">
        <f>0</f>
        <v>0</v>
      </c>
      <c r="H145" s="9"/>
    </row>
    <row r="146" spans="1:8" s="4" customFormat="1" ht="15">
      <c r="A146" s="8" t="s">
        <v>37</v>
      </c>
      <c r="B146" s="6">
        <v>0</v>
      </c>
      <c r="C146" s="6">
        <v>0</v>
      </c>
      <c r="D146" s="6">
        <v>0</v>
      </c>
      <c r="E146" s="6">
        <f>0</f>
        <v>0</v>
      </c>
      <c r="F146" s="6">
        <f>0</f>
        <v>0</v>
      </c>
      <c r="H146" s="9"/>
    </row>
    <row r="147" spans="1:8" s="4" customFormat="1" ht="15">
      <c r="A147" s="8" t="s">
        <v>38</v>
      </c>
      <c r="B147" s="6">
        <v>0</v>
      </c>
      <c r="C147" s="6">
        <v>0</v>
      </c>
      <c r="D147" s="6">
        <v>0</v>
      </c>
      <c r="E147" s="6">
        <f>0</f>
        <v>0</v>
      </c>
      <c r="F147" s="6">
        <f>0</f>
        <v>0</v>
      </c>
      <c r="H147" s="9"/>
    </row>
    <row r="148" spans="1:8" s="4" customFormat="1" ht="15">
      <c r="A148" s="8" t="s">
        <v>39</v>
      </c>
      <c r="B148" s="6">
        <v>0</v>
      </c>
      <c r="C148" s="6">
        <v>0</v>
      </c>
      <c r="D148" s="6">
        <v>0</v>
      </c>
      <c r="E148" s="6">
        <f>0</f>
        <v>0</v>
      </c>
      <c r="F148" s="6">
        <f>0</f>
        <v>0</v>
      </c>
      <c r="H148" s="9"/>
    </row>
    <row r="149" spans="1:8" s="4" customFormat="1" ht="15">
      <c r="A149" s="8" t="s">
        <v>40</v>
      </c>
      <c r="B149" s="54">
        <v>0</v>
      </c>
      <c r="C149" s="54">
        <v>0</v>
      </c>
      <c r="D149" s="54">
        <v>0</v>
      </c>
      <c r="E149" s="54">
        <f>0</f>
        <v>0</v>
      </c>
      <c r="F149" s="54">
        <f>0</f>
        <v>0</v>
      </c>
      <c r="H149" s="9"/>
    </row>
    <row r="150" spans="1:8" s="4" customFormat="1" ht="15">
      <c r="A150" s="8" t="s">
        <v>42</v>
      </c>
      <c r="B150" s="54">
        <f>SUM(B144:B149)</f>
        <v>0</v>
      </c>
      <c r="C150" s="54">
        <f>SUM(C144:C149)</f>
        <v>0</v>
      </c>
      <c r="D150" s="54">
        <f>SUM(D144:D149)</f>
        <v>0</v>
      </c>
      <c r="E150" s="54">
        <f>SUM(E144:E149)</f>
        <v>0</v>
      </c>
      <c r="F150" s="54">
        <f>SUM(F144:F149)</f>
        <v>0</v>
      </c>
      <c r="H150" s="9"/>
    </row>
    <row r="151" spans="1:8" s="4" customFormat="1" ht="15">
      <c r="A151" s="7"/>
      <c r="B151" s="6"/>
      <c r="C151" s="6"/>
      <c r="D151" s="6"/>
      <c r="E151" s="6"/>
      <c r="F151" s="6"/>
      <c r="H151" s="9"/>
    </row>
    <row r="152" spans="1:8" s="4" customFormat="1" ht="15">
      <c r="A152" s="7" t="s">
        <v>59</v>
      </c>
      <c r="B152" s="6"/>
      <c r="C152" s="6"/>
      <c r="D152" s="6"/>
      <c r="E152" s="6"/>
      <c r="F152" s="6"/>
      <c r="H152" s="9"/>
    </row>
    <row r="153" spans="1:8" s="4" customFormat="1" ht="15">
      <c r="A153" s="8" t="s">
        <v>35</v>
      </c>
      <c r="B153" s="6">
        <v>0</v>
      </c>
      <c r="C153" s="6">
        <v>0</v>
      </c>
      <c r="D153" s="6">
        <v>0</v>
      </c>
      <c r="E153" s="6">
        <f>0</f>
        <v>0</v>
      </c>
      <c r="F153" s="6">
        <f>0</f>
        <v>0</v>
      </c>
      <c r="H153" s="9"/>
    </row>
    <row r="154" spans="1:8" s="4" customFormat="1" ht="15">
      <c r="A154" s="8" t="s">
        <v>36</v>
      </c>
      <c r="B154" s="6">
        <v>0</v>
      </c>
      <c r="C154" s="6">
        <v>0</v>
      </c>
      <c r="D154" s="6">
        <v>0</v>
      </c>
      <c r="E154" s="6">
        <f>0</f>
        <v>0</v>
      </c>
      <c r="F154" s="6">
        <f>0</f>
        <v>0</v>
      </c>
      <c r="H154" s="9"/>
    </row>
    <row r="155" spans="1:8" s="4" customFormat="1" ht="15">
      <c r="A155" s="8" t="s">
        <v>37</v>
      </c>
      <c r="B155" s="6">
        <v>0</v>
      </c>
      <c r="C155" s="6">
        <v>0</v>
      </c>
      <c r="D155" s="6">
        <v>0</v>
      </c>
      <c r="E155" s="6">
        <f>0</f>
        <v>0</v>
      </c>
      <c r="F155" s="6">
        <f>0</f>
        <v>0</v>
      </c>
      <c r="H155" s="9"/>
    </row>
    <row r="156" spans="1:8" s="4" customFormat="1" ht="15">
      <c r="A156" s="8" t="s">
        <v>38</v>
      </c>
      <c r="B156" s="6">
        <v>0</v>
      </c>
      <c r="C156" s="6">
        <v>0</v>
      </c>
      <c r="D156" s="6">
        <v>0</v>
      </c>
      <c r="E156" s="6">
        <f>0</f>
        <v>0</v>
      </c>
      <c r="F156" s="6">
        <f>0</f>
        <v>0</v>
      </c>
      <c r="H156" s="9"/>
    </row>
    <row r="157" spans="1:8" s="4" customFormat="1" ht="15">
      <c r="A157" s="8" t="s">
        <v>39</v>
      </c>
      <c r="B157" s="6">
        <v>57124003</v>
      </c>
      <c r="C157" s="6">
        <v>66494379</v>
      </c>
      <c r="D157" s="6">
        <v>67302595</v>
      </c>
      <c r="E157" s="6">
        <v>78664435</v>
      </c>
      <c r="F157" s="6">
        <v>83484994</v>
      </c>
      <c r="H157" s="9"/>
    </row>
    <row r="158" spans="1:8" s="4" customFormat="1" ht="15">
      <c r="A158" s="8" t="s">
        <v>40</v>
      </c>
      <c r="B158" s="54">
        <v>0</v>
      </c>
      <c r="C158" s="54">
        <v>0</v>
      </c>
      <c r="D158" s="54">
        <v>0</v>
      </c>
      <c r="E158" s="54">
        <f>0</f>
        <v>0</v>
      </c>
      <c r="F158" s="54">
        <f>0</f>
        <v>0</v>
      </c>
      <c r="H158" s="9"/>
    </row>
    <row r="159" spans="1:8" s="4" customFormat="1" ht="15">
      <c r="A159" s="8" t="s">
        <v>42</v>
      </c>
      <c r="B159" s="54">
        <f>SUM(B153:B158)</f>
        <v>57124003</v>
      </c>
      <c r="C159" s="54">
        <f>SUM(C153:C158)</f>
        <v>66494379</v>
      </c>
      <c r="D159" s="54">
        <f>SUM(D153:D158)</f>
        <v>67302595</v>
      </c>
      <c r="E159" s="54">
        <f>SUM(E153:E158)</f>
        <v>78664435</v>
      </c>
      <c r="F159" s="54">
        <f>SUM(F153:F158)</f>
        <v>83484994</v>
      </c>
      <c r="H159" s="9"/>
    </row>
    <row r="160" spans="1:8" s="4" customFormat="1" ht="15">
      <c r="A160" s="7"/>
      <c r="B160" s="6"/>
      <c r="C160" s="6"/>
      <c r="D160" s="6"/>
      <c r="E160" s="6"/>
      <c r="F160" s="6"/>
      <c r="H160" s="9"/>
    </row>
    <row r="161" spans="1:8" s="4" customFormat="1" ht="15">
      <c r="A161" s="7" t="s">
        <v>60</v>
      </c>
      <c r="B161" s="6"/>
      <c r="C161" s="6"/>
      <c r="D161" s="6"/>
      <c r="E161" s="6"/>
      <c r="F161" s="6"/>
      <c r="H161" s="9"/>
    </row>
    <row r="162" spans="1:8" s="4" customFormat="1" ht="15">
      <c r="A162" s="8" t="s">
        <v>35</v>
      </c>
      <c r="B162" s="6">
        <v>0</v>
      </c>
      <c r="C162" s="6">
        <v>0</v>
      </c>
      <c r="D162" s="6">
        <v>0</v>
      </c>
      <c r="E162" s="6">
        <f>0</f>
        <v>0</v>
      </c>
      <c r="F162" s="6">
        <f>0</f>
        <v>0</v>
      </c>
      <c r="H162" s="9"/>
    </row>
    <row r="163" spans="1:8" s="4" customFormat="1" ht="15">
      <c r="A163" s="8" t="s">
        <v>36</v>
      </c>
      <c r="B163" s="6">
        <v>0</v>
      </c>
      <c r="C163" s="6">
        <v>0</v>
      </c>
      <c r="D163" s="6">
        <v>0</v>
      </c>
      <c r="E163" s="6">
        <f>0</f>
        <v>0</v>
      </c>
      <c r="F163" s="6">
        <f>0</f>
        <v>0</v>
      </c>
      <c r="H163" s="9"/>
    </row>
    <row r="164" spans="1:8" s="4" customFormat="1" ht="15">
      <c r="A164" s="8" t="s">
        <v>37</v>
      </c>
      <c r="B164" s="6">
        <v>0</v>
      </c>
      <c r="C164" s="6">
        <v>0</v>
      </c>
      <c r="D164" s="6">
        <v>0</v>
      </c>
      <c r="E164" s="6">
        <f>0</f>
        <v>0</v>
      </c>
      <c r="F164" s="6">
        <f>0</f>
        <v>0</v>
      </c>
      <c r="H164" s="9"/>
    </row>
    <row r="165" spans="1:8" s="4" customFormat="1" ht="15">
      <c r="A165" s="8" t="s">
        <v>38</v>
      </c>
      <c r="B165" s="6">
        <v>0</v>
      </c>
      <c r="C165" s="6">
        <v>0</v>
      </c>
      <c r="D165" s="6">
        <v>0</v>
      </c>
      <c r="E165" s="6">
        <f>0</f>
        <v>0</v>
      </c>
      <c r="F165" s="6">
        <f>0</f>
        <v>0</v>
      </c>
      <c r="H165" s="9"/>
    </row>
    <row r="166" spans="1:8" s="4" customFormat="1" ht="15">
      <c r="A166" s="8" t="s">
        <v>39</v>
      </c>
      <c r="B166" s="6">
        <v>0</v>
      </c>
      <c r="C166" s="6">
        <v>0</v>
      </c>
      <c r="D166" s="6">
        <v>0</v>
      </c>
      <c r="E166" s="6">
        <f>0</f>
        <v>0</v>
      </c>
      <c r="F166" s="6">
        <f>0</f>
        <v>0</v>
      </c>
      <c r="H166" s="9"/>
    </row>
    <row r="167" spans="1:8" s="4" customFormat="1" ht="15">
      <c r="A167" s="8" t="s">
        <v>40</v>
      </c>
      <c r="B167" s="54">
        <v>0</v>
      </c>
      <c r="C167" s="54">
        <v>0</v>
      </c>
      <c r="D167" s="54">
        <v>0</v>
      </c>
      <c r="E167" s="54">
        <f>0</f>
        <v>0</v>
      </c>
      <c r="F167" s="54">
        <f>0</f>
        <v>0</v>
      </c>
      <c r="H167" s="9"/>
    </row>
    <row r="168" spans="1:8" s="4" customFormat="1" ht="15">
      <c r="A168" s="8" t="s">
        <v>42</v>
      </c>
      <c r="B168" s="54">
        <f>SUM(B162:B167)</f>
        <v>0</v>
      </c>
      <c r="C168" s="54">
        <f>SUM(C162:C167)</f>
        <v>0</v>
      </c>
      <c r="D168" s="54">
        <f>SUM(D162:D167)</f>
        <v>0</v>
      </c>
      <c r="E168" s="54">
        <f>SUM(E162:E167)</f>
        <v>0</v>
      </c>
      <c r="F168" s="54">
        <f>SUM(F162:F167)</f>
        <v>0</v>
      </c>
      <c r="H168" s="9"/>
    </row>
    <row r="169" spans="1:8" s="4" customFormat="1" ht="15">
      <c r="A169" s="7"/>
      <c r="B169" s="6"/>
      <c r="C169" s="6"/>
      <c r="D169" s="6"/>
      <c r="E169" s="6"/>
      <c r="F169" s="6"/>
      <c r="H169" s="9"/>
    </row>
    <row r="170" spans="1:8" s="4" customFormat="1" ht="15">
      <c r="A170" s="41" t="s">
        <v>69</v>
      </c>
      <c r="B170" s="6"/>
      <c r="C170" s="6"/>
      <c r="D170" s="6"/>
      <c r="E170" s="6"/>
      <c r="F170" s="6"/>
      <c r="H170" s="9"/>
    </row>
    <row r="171" spans="1:8" s="4" customFormat="1" ht="15">
      <c r="A171" s="8" t="s">
        <v>35</v>
      </c>
      <c r="B171" s="6">
        <v>0</v>
      </c>
      <c r="C171" s="6">
        <v>0</v>
      </c>
      <c r="D171" s="6">
        <v>0</v>
      </c>
      <c r="E171" s="6">
        <f>0</f>
        <v>0</v>
      </c>
      <c r="F171" s="6">
        <f>0</f>
        <v>0</v>
      </c>
      <c r="H171" s="9"/>
    </row>
    <row r="172" spans="1:8" s="4" customFormat="1" ht="15">
      <c r="A172" s="8" t="s">
        <v>36</v>
      </c>
      <c r="B172" s="6">
        <v>0</v>
      </c>
      <c r="C172" s="6">
        <v>0</v>
      </c>
      <c r="D172" s="6">
        <v>0</v>
      </c>
      <c r="E172" s="6">
        <f>0</f>
        <v>0</v>
      </c>
      <c r="F172" s="6">
        <f>0</f>
        <v>0</v>
      </c>
      <c r="H172" s="9"/>
    </row>
    <row r="173" spans="1:8" s="4" customFormat="1" ht="15">
      <c r="A173" s="8" t="s">
        <v>37</v>
      </c>
      <c r="B173" s="6">
        <v>0</v>
      </c>
      <c r="C173" s="6">
        <v>0</v>
      </c>
      <c r="D173" s="6">
        <v>0</v>
      </c>
      <c r="E173" s="6">
        <f>0</f>
        <v>0</v>
      </c>
      <c r="F173" s="6">
        <f>0</f>
        <v>0</v>
      </c>
      <c r="H173" s="9"/>
    </row>
    <row r="174" spans="1:8" s="4" customFormat="1" ht="15">
      <c r="A174" s="8" t="s">
        <v>38</v>
      </c>
      <c r="B174" s="6">
        <v>0</v>
      </c>
      <c r="C174" s="6">
        <v>0</v>
      </c>
      <c r="D174" s="6">
        <v>0</v>
      </c>
      <c r="E174" s="6">
        <f>0</f>
        <v>0</v>
      </c>
      <c r="F174" s="6">
        <f>0</f>
        <v>0</v>
      </c>
      <c r="H174" s="9"/>
    </row>
    <row r="175" spans="1:8" s="4" customFormat="1" ht="15">
      <c r="A175" s="8" t="s">
        <v>39</v>
      </c>
      <c r="B175" s="6">
        <v>0</v>
      </c>
      <c r="C175" s="6">
        <v>0</v>
      </c>
      <c r="D175" s="6">
        <v>0</v>
      </c>
      <c r="E175" s="6">
        <f>0</f>
        <v>0</v>
      </c>
      <c r="F175" s="6">
        <f>0</f>
        <v>0</v>
      </c>
      <c r="H175" s="9"/>
    </row>
    <row r="176" spans="1:8" s="4" customFormat="1" ht="15">
      <c r="A176" s="8" t="s">
        <v>40</v>
      </c>
      <c r="B176" s="54">
        <v>0</v>
      </c>
      <c r="C176" s="54">
        <v>0</v>
      </c>
      <c r="D176" s="54">
        <v>0</v>
      </c>
      <c r="E176" s="54">
        <f>0</f>
        <v>0</v>
      </c>
      <c r="F176" s="54">
        <f>0</f>
        <v>0</v>
      </c>
      <c r="H176" s="9"/>
    </row>
    <row r="177" spans="1:8" s="4" customFormat="1" ht="15">
      <c r="A177" s="8" t="s">
        <v>42</v>
      </c>
      <c r="B177" s="54">
        <f>SUM(B171:B176)</f>
        <v>0</v>
      </c>
      <c r="C177" s="54">
        <f>SUM(C171:C176)</f>
        <v>0</v>
      </c>
      <c r="D177" s="54">
        <f>SUM(D171:D176)</f>
        <v>0</v>
      </c>
      <c r="E177" s="54">
        <f>SUM(E171:E176)</f>
        <v>0</v>
      </c>
      <c r="F177" s="54">
        <f>SUM(F171:F176)</f>
        <v>0</v>
      </c>
      <c r="H177" s="9"/>
    </row>
    <row r="178" spans="1:8" s="4" customFormat="1" ht="15">
      <c r="A178" s="7"/>
      <c r="B178" s="6"/>
      <c r="C178" s="6"/>
      <c r="D178" s="6"/>
      <c r="E178" s="6"/>
      <c r="F178" s="6"/>
      <c r="H178" s="9"/>
    </row>
    <row r="179" spans="1:8" s="4" customFormat="1" ht="15">
      <c r="A179" s="41" t="s">
        <v>84</v>
      </c>
      <c r="B179" s="6"/>
      <c r="C179" s="6"/>
      <c r="D179" s="6"/>
      <c r="E179" s="6"/>
      <c r="F179" s="6"/>
      <c r="H179" s="9"/>
    </row>
    <row r="180" spans="1:8" s="4" customFormat="1" ht="15">
      <c r="A180" s="8" t="s">
        <v>35</v>
      </c>
      <c r="B180" s="6">
        <f>0+0</f>
        <v>0</v>
      </c>
      <c r="C180" s="6">
        <f>0+0</f>
        <v>0</v>
      </c>
      <c r="D180" s="6">
        <f>0+0</f>
        <v>0</v>
      </c>
      <c r="E180" s="6">
        <f>0</f>
        <v>0</v>
      </c>
      <c r="F180" s="6">
        <f>0</f>
        <v>0</v>
      </c>
      <c r="H180" s="9"/>
    </row>
    <row r="181" spans="1:8" s="4" customFormat="1" ht="15">
      <c r="A181" s="8" t="s">
        <v>36</v>
      </c>
      <c r="B181" s="6">
        <v>0</v>
      </c>
      <c r="C181" s="6">
        <v>0</v>
      </c>
      <c r="D181" s="6">
        <v>0</v>
      </c>
      <c r="E181" s="6">
        <f>0</f>
        <v>0</v>
      </c>
      <c r="F181" s="6">
        <f>0</f>
        <v>0</v>
      </c>
      <c r="H181" s="9"/>
    </row>
    <row r="182" spans="1:8" s="4" customFormat="1" ht="15">
      <c r="A182" s="8" t="s">
        <v>37</v>
      </c>
      <c r="B182" s="6">
        <v>0</v>
      </c>
      <c r="C182" s="6">
        <v>0</v>
      </c>
      <c r="D182" s="6">
        <v>0</v>
      </c>
      <c r="E182" s="6">
        <f>0</f>
        <v>0</v>
      </c>
      <c r="F182" s="6">
        <f>0</f>
        <v>0</v>
      </c>
      <c r="H182" s="9"/>
    </row>
    <row r="183" spans="1:8" s="4" customFormat="1" ht="15">
      <c r="A183" s="8" t="s">
        <v>38</v>
      </c>
      <c r="B183" s="6">
        <f>0+0</f>
        <v>0</v>
      </c>
      <c r="C183" s="6">
        <f>0+0</f>
        <v>0</v>
      </c>
      <c r="D183" s="6">
        <f>0+0</f>
        <v>0</v>
      </c>
      <c r="E183" s="6">
        <f>0</f>
        <v>0</v>
      </c>
      <c r="F183" s="6">
        <f>0</f>
        <v>0</v>
      </c>
      <c r="H183" s="9"/>
    </row>
    <row r="184" spans="1:8" s="4" customFormat="1" ht="15">
      <c r="A184" s="8" t="s">
        <v>39</v>
      </c>
      <c r="B184" s="6">
        <v>0</v>
      </c>
      <c r="C184" s="6">
        <v>0</v>
      </c>
      <c r="D184" s="6">
        <v>0</v>
      </c>
      <c r="E184" s="6">
        <f>0</f>
        <v>0</v>
      </c>
      <c r="F184" s="6">
        <f>0</f>
        <v>0</v>
      </c>
      <c r="H184" s="9"/>
    </row>
    <row r="185" spans="1:8" s="4" customFormat="1" ht="15">
      <c r="A185" s="8" t="s">
        <v>40</v>
      </c>
      <c r="B185" s="54">
        <v>0</v>
      </c>
      <c r="C185" s="54">
        <v>0</v>
      </c>
      <c r="D185" s="54">
        <v>0</v>
      </c>
      <c r="E185" s="54">
        <f>0</f>
        <v>0</v>
      </c>
      <c r="F185" s="54">
        <f>0</f>
        <v>0</v>
      </c>
      <c r="H185" s="9"/>
    </row>
    <row r="186" spans="1:8" s="4" customFormat="1" ht="15">
      <c r="A186" s="8" t="s">
        <v>42</v>
      </c>
      <c r="B186" s="54">
        <f>SUM(B180:B185)</f>
        <v>0</v>
      </c>
      <c r="C186" s="54">
        <f>SUM(C180:C185)</f>
        <v>0</v>
      </c>
      <c r="D186" s="54">
        <f>SUM(D180:D185)</f>
        <v>0</v>
      </c>
      <c r="E186" s="54">
        <f>SUM(E180:E185)</f>
        <v>0</v>
      </c>
      <c r="F186" s="54">
        <f>SUM(F180:F185)</f>
        <v>0</v>
      </c>
      <c r="H186" s="9"/>
    </row>
    <row r="187" spans="1:8" s="4" customFormat="1" ht="15">
      <c r="A187" s="7"/>
      <c r="B187" s="6"/>
      <c r="C187" s="6"/>
      <c r="D187" s="6"/>
      <c r="E187" s="6"/>
      <c r="F187" s="6"/>
      <c r="H187" s="9"/>
    </row>
    <row r="188" spans="1:8" s="4" customFormat="1" ht="15">
      <c r="A188" s="41" t="s">
        <v>82</v>
      </c>
      <c r="B188" s="6"/>
      <c r="C188" s="6"/>
      <c r="D188" s="6"/>
      <c r="E188" s="6"/>
      <c r="F188" s="6"/>
      <c r="H188" s="9"/>
    </row>
    <row r="189" spans="1:8" s="4" customFormat="1" ht="15">
      <c r="A189" s="8" t="s">
        <v>35</v>
      </c>
      <c r="B189" s="6">
        <v>0</v>
      </c>
      <c r="C189" s="6">
        <v>0</v>
      </c>
      <c r="D189" s="6">
        <v>0</v>
      </c>
      <c r="E189" s="6">
        <f>0</f>
        <v>0</v>
      </c>
      <c r="F189" s="6">
        <f>0</f>
        <v>0</v>
      </c>
      <c r="H189" s="9"/>
    </row>
    <row r="190" spans="1:8" s="4" customFormat="1" ht="15">
      <c r="A190" s="8" t="s">
        <v>36</v>
      </c>
      <c r="B190" s="6">
        <v>0</v>
      </c>
      <c r="C190" s="6">
        <v>0</v>
      </c>
      <c r="D190" s="6">
        <v>0</v>
      </c>
      <c r="E190" s="6">
        <f>0</f>
        <v>0</v>
      </c>
      <c r="F190" s="6">
        <f>0</f>
        <v>0</v>
      </c>
      <c r="H190" s="9"/>
    </row>
    <row r="191" spans="1:8" s="4" customFormat="1" ht="15">
      <c r="A191" s="8" t="s">
        <v>37</v>
      </c>
      <c r="B191" s="6">
        <v>0</v>
      </c>
      <c r="C191" s="6">
        <v>0</v>
      </c>
      <c r="D191" s="6">
        <v>0</v>
      </c>
      <c r="E191" s="6">
        <f>0</f>
        <v>0</v>
      </c>
      <c r="F191" s="6">
        <f>0</f>
        <v>0</v>
      </c>
      <c r="H191" s="9"/>
    </row>
    <row r="192" spans="1:8" s="4" customFormat="1" ht="15">
      <c r="A192" s="8" t="s">
        <v>38</v>
      </c>
      <c r="B192" s="6">
        <v>0</v>
      </c>
      <c r="C192" s="6">
        <v>0</v>
      </c>
      <c r="D192" s="6">
        <v>0</v>
      </c>
      <c r="E192" s="6">
        <f>0</f>
        <v>0</v>
      </c>
      <c r="F192" s="6">
        <f>0</f>
        <v>0</v>
      </c>
      <c r="H192" s="9"/>
    </row>
    <row r="193" spans="1:8" s="4" customFormat="1" ht="15">
      <c r="A193" s="8" t="s">
        <v>39</v>
      </c>
      <c r="B193" s="6">
        <v>0</v>
      </c>
      <c r="C193" s="6">
        <v>0</v>
      </c>
      <c r="D193" s="6">
        <v>0</v>
      </c>
      <c r="E193" s="6">
        <f>0</f>
        <v>0</v>
      </c>
      <c r="F193" s="6">
        <f>0</f>
        <v>0</v>
      </c>
      <c r="H193" s="9"/>
    </row>
    <row r="194" spans="1:8" s="4" customFormat="1" ht="15">
      <c r="A194" s="8" t="s">
        <v>40</v>
      </c>
      <c r="B194" s="54">
        <v>0</v>
      </c>
      <c r="C194" s="54">
        <v>0</v>
      </c>
      <c r="D194" s="54">
        <v>0</v>
      </c>
      <c r="E194" s="54">
        <f>0</f>
        <v>0</v>
      </c>
      <c r="F194" s="54">
        <f>0</f>
        <v>0</v>
      </c>
      <c r="H194" s="9"/>
    </row>
    <row r="195" spans="1:8" s="4" customFormat="1" ht="15">
      <c r="A195" s="8" t="s">
        <v>42</v>
      </c>
      <c r="B195" s="54">
        <f>SUM(B189:B194)</f>
        <v>0</v>
      </c>
      <c r="C195" s="54">
        <f>SUM(C189:C194)</f>
        <v>0</v>
      </c>
      <c r="D195" s="54">
        <f>SUM(D189:D194)</f>
        <v>0</v>
      </c>
      <c r="E195" s="54">
        <f>SUM(E189:E194)</f>
        <v>0</v>
      </c>
      <c r="F195" s="54">
        <f>SUM(F189:F194)</f>
        <v>0</v>
      </c>
      <c r="H195" s="9"/>
    </row>
    <row r="196" spans="1:8" s="4" customFormat="1" ht="15">
      <c r="A196" s="7"/>
      <c r="B196" s="6"/>
      <c r="C196" s="6"/>
      <c r="D196" s="6"/>
      <c r="E196" s="6"/>
      <c r="F196" s="6"/>
      <c r="H196" s="9"/>
    </row>
    <row r="197" spans="1:8" s="4" customFormat="1" ht="15">
      <c r="A197" s="41" t="s">
        <v>70</v>
      </c>
      <c r="B197" s="6"/>
      <c r="C197" s="6"/>
      <c r="D197" s="6"/>
      <c r="E197" s="6"/>
      <c r="F197" s="6"/>
      <c r="H197" s="9"/>
    </row>
    <row r="198" spans="1:8" s="4" customFormat="1" ht="15">
      <c r="A198" s="8" t="s">
        <v>35</v>
      </c>
      <c r="B198" s="6">
        <v>0</v>
      </c>
      <c r="C198" s="6">
        <v>0</v>
      </c>
      <c r="D198" s="6">
        <v>0</v>
      </c>
      <c r="E198" s="6">
        <f>0</f>
        <v>0</v>
      </c>
      <c r="F198" s="6">
        <f>0</f>
        <v>0</v>
      </c>
      <c r="H198" s="9"/>
    </row>
    <row r="199" spans="1:8" s="4" customFormat="1" ht="15">
      <c r="A199" s="8" t="s">
        <v>36</v>
      </c>
      <c r="B199" s="6">
        <v>0</v>
      </c>
      <c r="C199" s="6">
        <v>0</v>
      </c>
      <c r="D199" s="6">
        <v>0</v>
      </c>
      <c r="E199" s="6">
        <f>0</f>
        <v>0</v>
      </c>
      <c r="F199" s="6">
        <f>0</f>
        <v>0</v>
      </c>
      <c r="H199" s="9"/>
    </row>
    <row r="200" spans="1:8" s="4" customFormat="1" ht="15">
      <c r="A200" s="8" t="s">
        <v>37</v>
      </c>
      <c r="B200" s="6">
        <v>0</v>
      </c>
      <c r="C200" s="6">
        <v>0</v>
      </c>
      <c r="D200" s="6">
        <v>0</v>
      </c>
      <c r="E200" s="6">
        <f>0</f>
        <v>0</v>
      </c>
      <c r="F200" s="6">
        <f>0</f>
        <v>0</v>
      </c>
      <c r="H200" s="9"/>
    </row>
    <row r="201" spans="1:8" s="4" customFormat="1" ht="15">
      <c r="A201" s="8" t="s">
        <v>38</v>
      </c>
      <c r="B201" s="6">
        <v>0</v>
      </c>
      <c r="C201" s="6">
        <v>0</v>
      </c>
      <c r="D201" s="6">
        <v>0</v>
      </c>
      <c r="E201" s="6">
        <f>0</f>
        <v>0</v>
      </c>
      <c r="F201" s="6">
        <f>0</f>
        <v>0</v>
      </c>
      <c r="H201" s="9"/>
    </row>
    <row r="202" spans="1:8" s="4" customFormat="1" ht="15">
      <c r="A202" s="8" t="s">
        <v>39</v>
      </c>
      <c r="B202" s="6">
        <v>0</v>
      </c>
      <c r="C202" s="6">
        <v>0</v>
      </c>
      <c r="D202" s="6">
        <v>0</v>
      </c>
      <c r="E202" s="6">
        <f>0</f>
        <v>0</v>
      </c>
      <c r="F202" s="6">
        <f>0</f>
        <v>0</v>
      </c>
      <c r="H202" s="9"/>
    </row>
    <row r="203" spans="1:8" s="4" customFormat="1" ht="15">
      <c r="A203" s="8" t="s">
        <v>40</v>
      </c>
      <c r="B203" s="54">
        <v>0</v>
      </c>
      <c r="C203" s="54">
        <v>0</v>
      </c>
      <c r="D203" s="54">
        <v>0</v>
      </c>
      <c r="E203" s="54">
        <f>0</f>
        <v>0</v>
      </c>
      <c r="F203" s="54">
        <f>0</f>
        <v>0</v>
      </c>
      <c r="H203" s="9"/>
    </row>
    <row r="204" spans="1:8" s="4" customFormat="1" ht="15">
      <c r="A204" s="8" t="s">
        <v>42</v>
      </c>
      <c r="B204" s="54">
        <f>SUM(B198:B203)</f>
        <v>0</v>
      </c>
      <c r="C204" s="54">
        <f>SUM(C198:C203)</f>
        <v>0</v>
      </c>
      <c r="D204" s="54">
        <f>SUM(D198:D203)</f>
        <v>0</v>
      </c>
      <c r="E204" s="54">
        <f>SUM(E198:E203)</f>
        <v>0</v>
      </c>
      <c r="F204" s="54">
        <f>SUM(F198:F203)</f>
        <v>0</v>
      </c>
      <c r="H204" s="9"/>
    </row>
    <row r="205" spans="1:8" s="4" customFormat="1" ht="15">
      <c r="A205" s="7"/>
      <c r="B205" s="6"/>
      <c r="C205" s="6"/>
      <c r="D205" s="6"/>
      <c r="E205" s="6"/>
      <c r="F205" s="6"/>
      <c r="H205" s="9"/>
    </row>
    <row r="206" spans="1:8" s="4" customFormat="1" ht="15">
      <c r="A206" s="41" t="s">
        <v>83</v>
      </c>
      <c r="B206" s="6"/>
      <c r="C206" s="6"/>
      <c r="D206" s="6"/>
      <c r="E206" s="6"/>
      <c r="F206" s="6"/>
      <c r="H206" s="9"/>
    </row>
    <row r="207" spans="1:8" s="4" customFormat="1" ht="15">
      <c r="A207" s="8" t="s">
        <v>35</v>
      </c>
      <c r="B207" s="6">
        <v>0</v>
      </c>
      <c r="C207" s="6">
        <v>0</v>
      </c>
      <c r="D207" s="6">
        <v>0</v>
      </c>
      <c r="E207" s="6">
        <f>0</f>
        <v>0</v>
      </c>
      <c r="F207" s="6">
        <f>0</f>
        <v>0</v>
      </c>
      <c r="H207" s="9"/>
    </row>
    <row r="208" spans="1:8" s="4" customFormat="1" ht="15">
      <c r="A208" s="8" t="s">
        <v>36</v>
      </c>
      <c r="B208" s="6">
        <v>0</v>
      </c>
      <c r="C208" s="6">
        <v>0</v>
      </c>
      <c r="D208" s="6">
        <v>0</v>
      </c>
      <c r="E208" s="6">
        <f>0</f>
        <v>0</v>
      </c>
      <c r="F208" s="6">
        <f>0</f>
        <v>0</v>
      </c>
      <c r="H208" s="9"/>
    </row>
    <row r="209" spans="1:8" s="4" customFormat="1" ht="15">
      <c r="A209" s="8" t="s">
        <v>37</v>
      </c>
      <c r="B209" s="6">
        <v>0</v>
      </c>
      <c r="C209" s="6">
        <v>0</v>
      </c>
      <c r="D209" s="6">
        <v>0</v>
      </c>
      <c r="E209" s="6">
        <f>0</f>
        <v>0</v>
      </c>
      <c r="F209" s="6">
        <f>0</f>
        <v>0</v>
      </c>
      <c r="H209" s="9"/>
    </row>
    <row r="210" spans="1:8" s="4" customFormat="1" ht="15">
      <c r="A210" s="8" t="s">
        <v>38</v>
      </c>
      <c r="B210" s="6">
        <v>0</v>
      </c>
      <c r="C210" s="6">
        <v>0</v>
      </c>
      <c r="D210" s="6">
        <v>0</v>
      </c>
      <c r="E210" s="6">
        <f>0</f>
        <v>0</v>
      </c>
      <c r="F210" s="6">
        <f>0</f>
        <v>0</v>
      </c>
      <c r="H210" s="9"/>
    </row>
    <row r="211" spans="1:8" s="4" customFormat="1" ht="15">
      <c r="A211" s="8" t="s">
        <v>39</v>
      </c>
      <c r="B211" s="6">
        <v>0</v>
      </c>
      <c r="C211" s="6">
        <v>0</v>
      </c>
      <c r="D211" s="6">
        <v>0</v>
      </c>
      <c r="E211" s="6">
        <f>0</f>
        <v>0</v>
      </c>
      <c r="F211" s="6">
        <f>0</f>
        <v>0</v>
      </c>
      <c r="H211" s="9"/>
    </row>
    <row r="212" spans="1:8" s="4" customFormat="1" ht="15">
      <c r="A212" s="8" t="s">
        <v>40</v>
      </c>
      <c r="B212" s="54">
        <v>0</v>
      </c>
      <c r="C212" s="54">
        <v>0</v>
      </c>
      <c r="D212" s="54">
        <v>0</v>
      </c>
      <c r="E212" s="54">
        <f>0</f>
        <v>0</v>
      </c>
      <c r="F212" s="54">
        <f>0</f>
        <v>0</v>
      </c>
      <c r="H212" s="9"/>
    </row>
    <row r="213" spans="1:8" s="4" customFormat="1" ht="15">
      <c r="A213" s="8" t="s">
        <v>42</v>
      </c>
      <c r="B213" s="54">
        <f>SUM(B207:B212)</f>
        <v>0</v>
      </c>
      <c r="C213" s="54">
        <f>SUM(C207:C212)</f>
        <v>0</v>
      </c>
      <c r="D213" s="54">
        <f>SUM(D207:D212)</f>
        <v>0</v>
      </c>
      <c r="E213" s="54">
        <f>SUM(E207:E212)</f>
        <v>0</v>
      </c>
      <c r="F213" s="54">
        <f>SUM(F207:F212)</f>
        <v>0</v>
      </c>
      <c r="H213" s="9"/>
    </row>
    <row r="214" spans="1:8" s="4" customFormat="1" ht="15">
      <c r="A214" s="7"/>
      <c r="B214" s="6"/>
      <c r="C214" s="6"/>
      <c r="D214" s="6"/>
      <c r="E214" s="6"/>
      <c r="F214" s="6"/>
      <c r="H214" s="9"/>
    </row>
    <row r="215" spans="1:8" s="4" customFormat="1" ht="17.25">
      <c r="A215" s="7" t="s">
        <v>23</v>
      </c>
      <c r="B215" s="20">
        <f>B15+B24+B33+B42+B51+B60+B69+B78+B87+B96+B105+B114+B123+B132+B141+B150+B159+B168+B177+B186+B195+B204+B213</f>
        <v>57124003</v>
      </c>
      <c r="C215" s="20">
        <f>C15+C24+C33+C42+C51+C60+C69+C78+C87+C96+C105+C114+C123+C132+C141+C150+C159+C168+C177+C186+C195+C204+C213</f>
        <v>66494379</v>
      </c>
      <c r="D215" s="20">
        <f>D15+D24+D33+D42+D51+D60+D69+D78+D87+D96+D105+D114+D123+D132+D141+D150+D159+D168+D177+D186+D195+D204+D213</f>
        <v>67302595</v>
      </c>
      <c r="E215" s="20">
        <f>E15+E24+E33+E42+E51+E60+E69+E78+E87+E96+E105+E114+E123+E132+E141+E150+E159+E168+E177+E186+E195+E204+E213</f>
        <v>78664435</v>
      </c>
      <c r="F215" s="20">
        <f>F15+F24+F33+F42+F51+F60+F69+F78+F87+F96+F105+F114+F123+F132+F141+F150+F159+F168+F177+F186+F195+F204+F213</f>
        <v>83484994</v>
      </c>
      <c r="H215" s="8"/>
    </row>
    <row r="216" spans="1:8" s="4" customFormat="1" ht="15">
      <c r="A216" s="8"/>
      <c r="B216" s="17"/>
      <c r="C216" s="17"/>
      <c r="D216" s="17"/>
      <c r="E216" s="17"/>
      <c r="F216" s="17"/>
      <c r="H216" s="8"/>
    </row>
    <row r="217" spans="1:8" s="4" customFormat="1" ht="15">
      <c r="A217" s="8"/>
      <c r="B217" s="17"/>
      <c r="C217" s="17"/>
      <c r="D217" s="17"/>
      <c r="E217" s="17"/>
      <c r="F217" s="17"/>
      <c r="H217" s="8"/>
    </row>
    <row r="218" spans="1:8" s="4" customFormat="1" ht="15">
      <c r="A218" s="8"/>
      <c r="B218" s="17"/>
      <c r="C218" s="17"/>
      <c r="D218" s="17"/>
      <c r="E218" s="17"/>
      <c r="F218" s="17"/>
      <c r="H218" s="8"/>
    </row>
    <row r="219" spans="1:8" s="4" customFormat="1" ht="15">
      <c r="A219" s="7" t="s">
        <v>61</v>
      </c>
      <c r="B219" s="17"/>
      <c r="C219" s="17"/>
      <c r="D219" s="17"/>
      <c r="E219" s="17"/>
      <c r="F219" s="17"/>
    </row>
    <row r="220" spans="1:8" s="4" customFormat="1" ht="15">
      <c r="A220" s="8" t="s">
        <v>35</v>
      </c>
      <c r="B220" s="6">
        <f t="shared" ref="B220:D225" si="0">B9+B18+B27+B36+B45+B54+B63+B72+B81+B90+B99+B108+B117+B126+B135+B144+B153+B162+B171+B189+B198+B207</f>
        <v>0</v>
      </c>
      <c r="C220" s="6">
        <f t="shared" si="0"/>
        <v>0</v>
      </c>
      <c r="D220" s="6">
        <f t="shared" si="0"/>
        <v>0</v>
      </c>
      <c r="E220" s="6">
        <f t="shared" ref="E220:F225" si="1">E9+E18+E27+E36+E45+E54+E63+E72+E81+E90+E99+E108+E117+E126+E135+E144+E153+E162+E171+E189+E198+E207</f>
        <v>0</v>
      </c>
      <c r="F220" s="6">
        <f t="shared" si="1"/>
        <v>0</v>
      </c>
      <c r="H220" s="9"/>
    </row>
    <row r="221" spans="1:8" s="4" customFormat="1" ht="15">
      <c r="A221" s="8" t="s">
        <v>36</v>
      </c>
      <c r="B221" s="6">
        <f t="shared" si="0"/>
        <v>0</v>
      </c>
      <c r="C221" s="6">
        <f t="shared" si="0"/>
        <v>0</v>
      </c>
      <c r="D221" s="6">
        <f t="shared" si="0"/>
        <v>0</v>
      </c>
      <c r="E221" s="6">
        <f t="shared" si="1"/>
        <v>0</v>
      </c>
      <c r="F221" s="6">
        <f t="shared" si="1"/>
        <v>0</v>
      </c>
      <c r="H221" s="9"/>
    </row>
    <row r="222" spans="1:8" s="4" customFormat="1" ht="15">
      <c r="A222" s="8" t="s">
        <v>37</v>
      </c>
      <c r="B222" s="6">
        <f t="shared" si="0"/>
        <v>0</v>
      </c>
      <c r="C222" s="6">
        <f t="shared" si="0"/>
        <v>0</v>
      </c>
      <c r="D222" s="6">
        <f t="shared" si="0"/>
        <v>0</v>
      </c>
      <c r="E222" s="6">
        <f t="shared" si="1"/>
        <v>0</v>
      </c>
      <c r="F222" s="6">
        <f t="shared" si="1"/>
        <v>0</v>
      </c>
      <c r="H222" s="9"/>
    </row>
    <row r="223" spans="1:8" s="4" customFormat="1" ht="15">
      <c r="A223" s="8" t="s">
        <v>38</v>
      </c>
      <c r="B223" s="6">
        <f t="shared" si="0"/>
        <v>0</v>
      </c>
      <c r="C223" s="6">
        <f t="shared" si="0"/>
        <v>0</v>
      </c>
      <c r="D223" s="6">
        <f t="shared" si="0"/>
        <v>0</v>
      </c>
      <c r="E223" s="6">
        <f t="shared" si="1"/>
        <v>0</v>
      </c>
      <c r="F223" s="6">
        <f t="shared" si="1"/>
        <v>0</v>
      </c>
      <c r="H223" s="9"/>
    </row>
    <row r="224" spans="1:8" s="4" customFormat="1" ht="15">
      <c r="A224" s="8" t="s">
        <v>39</v>
      </c>
      <c r="B224" s="6">
        <f t="shared" si="0"/>
        <v>57124003</v>
      </c>
      <c r="C224" s="6">
        <f t="shared" si="0"/>
        <v>66494379</v>
      </c>
      <c r="D224" s="6">
        <f t="shared" si="0"/>
        <v>67302595</v>
      </c>
      <c r="E224" s="6">
        <f>E13+E22+E31+E40+E49+E58+E67+E76+E85+E94+E103+E112+E121+E130+E139+E148+E157+E166+E175+E193+E202+E211</f>
        <v>78664435</v>
      </c>
      <c r="F224" s="6">
        <f>F13+F22+F31+F40+F49+F58+F67+F76+F85+F94+F103+F112+F121+F130+F139+F148+F157+F166+F175+F193+F202+F211</f>
        <v>83484994</v>
      </c>
      <c r="H224" s="9"/>
    </row>
    <row r="225" spans="1:8" s="4" customFormat="1" ht="17.25">
      <c r="A225" s="8" t="s">
        <v>40</v>
      </c>
      <c r="B225" s="19">
        <f t="shared" si="0"/>
        <v>0</v>
      </c>
      <c r="C225" s="19">
        <f t="shared" si="0"/>
        <v>0</v>
      </c>
      <c r="D225" s="19">
        <f t="shared" si="0"/>
        <v>0</v>
      </c>
      <c r="E225" s="19">
        <f t="shared" si="1"/>
        <v>0</v>
      </c>
      <c r="F225" s="19">
        <f t="shared" si="1"/>
        <v>0</v>
      </c>
      <c r="H225" s="9"/>
    </row>
    <row r="226" spans="1:8" s="4" customFormat="1" ht="15">
      <c r="A226" s="8"/>
      <c r="B226" s="54"/>
      <c r="C226" s="54"/>
      <c r="D226" s="54"/>
      <c r="E226" s="54"/>
      <c r="F226" s="54"/>
      <c r="H226" s="9"/>
    </row>
    <row r="227" spans="1:8" s="4" customFormat="1" ht="15">
      <c r="A227" s="7" t="s">
        <v>23</v>
      </c>
      <c r="B227" s="54">
        <f>SUM(B220:B225)</f>
        <v>57124003</v>
      </c>
      <c r="C227" s="54">
        <f>SUM(C220:C225)</f>
        <v>66494379</v>
      </c>
      <c r="D227" s="54">
        <f>SUM(D220:D225)</f>
        <v>67302595</v>
      </c>
      <c r="E227" s="54">
        <f>SUM(E220:E225)</f>
        <v>78664435</v>
      </c>
      <c r="F227" s="54">
        <f>SUM(F220:F225)</f>
        <v>83484994</v>
      </c>
      <c r="H227" s="9"/>
    </row>
    <row r="228" spans="1:8" s="4" customFormat="1" ht="12.75" customHeight="1">
      <c r="A228" s="8"/>
      <c r="B228" s="8"/>
      <c r="C228" s="8"/>
      <c r="D228" s="8"/>
      <c r="E228" s="8"/>
      <c r="F228" s="8"/>
    </row>
    <row r="229" spans="1:8" s="4" customFormat="1" ht="12.75" customHeight="1">
      <c r="A229" s="8"/>
      <c r="B229" s="8"/>
      <c r="C229" s="8"/>
      <c r="D229" s="8"/>
      <c r="E229" s="8"/>
      <c r="F229" s="8"/>
    </row>
    <row r="230" spans="1:8" s="4" customFormat="1" ht="12.75" customHeight="1">
      <c r="A230" s="8"/>
      <c r="B230" s="8"/>
      <c r="C230" s="8"/>
      <c r="D230" s="8"/>
      <c r="E230" s="8"/>
      <c r="F230" s="8"/>
    </row>
    <row r="231" spans="1:8" s="4" customFormat="1" ht="12.75" customHeight="1">
      <c r="A231" s="7"/>
      <c r="B231" s="8"/>
      <c r="C231" s="8"/>
      <c r="D231" s="8"/>
      <c r="E231" s="8"/>
      <c r="F231" s="8"/>
    </row>
    <row r="232" spans="1:8" s="4" customFormat="1" ht="12.75" customHeight="1">
      <c r="A232" s="8"/>
      <c r="B232" s="8"/>
      <c r="C232" s="8"/>
      <c r="D232" s="8"/>
      <c r="E232" s="8"/>
      <c r="F232" s="8"/>
    </row>
  </sheetData>
  <mergeCells count="4">
    <mergeCell ref="A4:F4"/>
    <mergeCell ref="A1:F1"/>
    <mergeCell ref="A3:F3"/>
    <mergeCell ref="A2:F2"/>
  </mergeCells>
  <phoneticPr fontId="13" type="noConversion"/>
  <pageMargins left="0.75" right="0.5" top="1" bottom="0.5" header="0.5" footer="0.5"/>
  <pageSetup scale="89" orientation="portrait" horizontalDpi="4294967295" verticalDpi="4294967295" r:id="rId1"/>
  <headerFooter alignWithMargins="0"/>
  <rowBreaks count="4" manualBreakCount="4">
    <brk id="52" max="5" man="1"/>
    <brk id="97" max="5" man="1"/>
    <brk id="142" max="5" man="1"/>
    <brk id="187" max="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G103"/>
  <sheetViews>
    <sheetView topLeftCell="B1" workbookViewId="0">
      <selection activeCell="K27" sqref="K27"/>
    </sheetView>
  </sheetViews>
  <sheetFormatPr defaultColWidth="5.7109375" defaultRowHeight="15"/>
  <cols>
    <col min="1" max="1" width="42.28515625" style="4" customWidth="1"/>
    <col min="2" max="3" width="12.28515625" style="4" customWidth="1"/>
    <col min="4" max="4" width="12.85546875" style="4" customWidth="1"/>
    <col min="5" max="5" width="12.28515625" style="4" customWidth="1"/>
    <col min="6" max="6" width="12.85546875" style="4" customWidth="1"/>
    <col min="7" max="7" width="7.28515625" style="4" hidden="1" customWidth="1"/>
    <col min="8" max="16384" width="5.7109375" style="4"/>
  </cols>
  <sheetData>
    <row r="1" spans="1:7" s="29" customFormat="1" ht="15.75">
      <c r="A1" s="213" t="s">
        <v>0</v>
      </c>
      <c r="B1" s="213"/>
      <c r="C1" s="213"/>
      <c r="D1" s="213"/>
      <c r="E1" s="213"/>
      <c r="F1" s="213"/>
      <c r="G1" s="30"/>
    </row>
    <row r="2" spans="1:7" s="29" customFormat="1" ht="15.75">
      <c r="A2" s="212" t="s">
        <v>1</v>
      </c>
      <c r="B2" s="212"/>
      <c r="C2" s="212"/>
      <c r="D2" s="212"/>
      <c r="E2" s="212"/>
      <c r="F2" s="212"/>
      <c r="G2" s="30"/>
    </row>
    <row r="3" spans="1:7" s="29" customFormat="1" ht="15.75">
      <c r="A3" s="213" t="s">
        <v>67</v>
      </c>
      <c r="B3" s="213"/>
      <c r="C3" s="213"/>
      <c r="D3" s="213"/>
      <c r="E3" s="213"/>
      <c r="F3" s="213"/>
      <c r="G3" s="30"/>
    </row>
    <row r="4" spans="1:7" s="29" customFormat="1" ht="15.75">
      <c r="A4" s="206" t="s">
        <v>90</v>
      </c>
      <c r="B4" s="206"/>
      <c r="C4" s="206"/>
      <c r="D4" s="206"/>
      <c r="E4" s="206"/>
      <c r="F4" s="206"/>
      <c r="G4" s="30"/>
    </row>
    <row r="5" spans="1:7" s="29" customFormat="1" ht="15.75">
      <c r="A5" s="31"/>
      <c r="B5" s="31"/>
      <c r="C5" s="31"/>
      <c r="D5" s="58"/>
      <c r="E5" s="58" t="s">
        <v>65</v>
      </c>
      <c r="F5" s="40" t="s">
        <v>65</v>
      </c>
      <c r="G5" s="31"/>
    </row>
    <row r="6" spans="1:7" s="29" customFormat="1" ht="15.75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  <c r="G6" s="33" t="s">
        <v>4</v>
      </c>
    </row>
    <row r="7" spans="1:7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</row>
    <row r="8" spans="1:7">
      <c r="A8" s="16" t="s">
        <v>7</v>
      </c>
      <c r="B8" s="17"/>
      <c r="C8" s="17"/>
      <c r="D8" s="17"/>
      <c r="E8" s="17"/>
      <c r="F8" s="17"/>
      <c r="G8" s="17"/>
    </row>
    <row r="9" spans="1:7">
      <c r="A9" s="17" t="s">
        <v>8</v>
      </c>
      <c r="B9" s="17">
        <v>489830</v>
      </c>
      <c r="C9" s="17">
        <v>873601</v>
      </c>
      <c r="D9" s="17">
        <v>1886158.12</v>
      </c>
      <c r="E9" s="17">
        <v>725019</v>
      </c>
      <c r="F9" s="17">
        <v>1893812</v>
      </c>
      <c r="G9" s="18">
        <f>F9-D9</f>
        <v>7653.8799999998882</v>
      </c>
    </row>
    <row r="10" spans="1:7">
      <c r="A10" s="17" t="s">
        <v>9</v>
      </c>
      <c r="B10" s="6">
        <v>20683</v>
      </c>
      <c r="C10" s="6">
        <v>0</v>
      </c>
      <c r="D10" s="6">
        <v>0</v>
      </c>
      <c r="E10" s="6">
        <v>27054</v>
      </c>
      <c r="F10" s="6">
        <v>27054.11</v>
      </c>
      <c r="G10" s="6">
        <f>F10-D10</f>
        <v>27054.11</v>
      </c>
    </row>
    <row r="11" spans="1:7" ht="17.25">
      <c r="A11" s="17" t="s">
        <v>10</v>
      </c>
      <c r="B11" s="19">
        <v>0</v>
      </c>
      <c r="C11" s="19">
        <v>0</v>
      </c>
      <c r="D11" s="19">
        <v>0</v>
      </c>
      <c r="E11" s="19">
        <v>0</v>
      </c>
      <c r="F11" s="19">
        <v>0</v>
      </c>
      <c r="G11" s="19">
        <f>F11-D11</f>
        <v>0</v>
      </c>
    </row>
    <row r="12" spans="1:7">
      <c r="A12" s="17"/>
      <c r="B12" s="17"/>
      <c r="C12" s="17"/>
      <c r="D12" s="17"/>
      <c r="E12" s="17"/>
      <c r="F12" s="17"/>
      <c r="G12" s="17"/>
    </row>
    <row r="13" spans="1:7" ht="17.25">
      <c r="A13" s="17" t="s">
        <v>11</v>
      </c>
      <c r="B13" s="20">
        <f t="shared" ref="B13:G13" si="0">SUM(B9:B11)</f>
        <v>510513</v>
      </c>
      <c r="C13" s="20">
        <f t="shared" si="0"/>
        <v>873601</v>
      </c>
      <c r="D13" s="20">
        <f t="shared" si="0"/>
        <v>1886158.12</v>
      </c>
      <c r="E13" s="20">
        <f t="shared" si="0"/>
        <v>752073</v>
      </c>
      <c r="F13" s="20">
        <f t="shared" si="0"/>
        <v>1920866.11</v>
      </c>
      <c r="G13" s="20">
        <f t="shared" si="0"/>
        <v>34707.989999999889</v>
      </c>
    </row>
    <row r="14" spans="1:7">
      <c r="A14" s="17"/>
      <c r="B14" s="17"/>
      <c r="C14" s="17"/>
      <c r="D14" s="17"/>
      <c r="E14" s="17"/>
      <c r="F14" s="17"/>
      <c r="G14" s="17"/>
    </row>
    <row r="15" spans="1:7">
      <c r="A15" s="16" t="s">
        <v>12</v>
      </c>
      <c r="B15" s="17"/>
      <c r="C15" s="17"/>
      <c r="D15" s="17"/>
      <c r="E15" s="17"/>
      <c r="F15" s="17"/>
      <c r="G15" s="17"/>
    </row>
    <row r="16" spans="1:7">
      <c r="A16" s="17" t="s">
        <v>13</v>
      </c>
      <c r="B16" s="17"/>
      <c r="C16" s="17"/>
      <c r="D16" s="17"/>
      <c r="E16" s="17"/>
      <c r="F16" s="17"/>
      <c r="G16" s="17"/>
    </row>
    <row r="17" spans="1:7">
      <c r="A17" s="17" t="s">
        <v>14</v>
      </c>
      <c r="B17" s="6">
        <f>'F600 Detail'!B15+'F600 Detail'!B24+'F600 Detail'!B33</f>
        <v>490098.81000000006</v>
      </c>
      <c r="C17" s="6">
        <f>'F600 Detail'!C15+'F600 Detail'!C24+'F600 Detail'!C33</f>
        <v>372447.34</v>
      </c>
      <c r="D17" s="6">
        <f>'F600 Detail'!D15+'F600 Detail'!D24+'F600 Detail'!D33</f>
        <v>1444454.2000000002</v>
      </c>
      <c r="E17" s="6">
        <f>'F600 Detail'!E15+'F600 Detail'!E24+'F600 Detail'!E33</f>
        <v>15157.05</v>
      </c>
      <c r="F17" s="6">
        <f>'F600 Detail'!F15+'F600 Detail'!F24+'F600 Detail'!F33</f>
        <v>276388</v>
      </c>
      <c r="G17" s="6">
        <f t="shared" ref="G17:G25" si="1">F17-D17</f>
        <v>-1168066.2000000002</v>
      </c>
    </row>
    <row r="18" spans="1:7">
      <c r="A18" s="17" t="s">
        <v>15</v>
      </c>
      <c r="B18" s="6">
        <f>'F600 Detail'!B42+'F600 Detail'!B51</f>
        <v>0</v>
      </c>
      <c r="C18" s="6">
        <f>'F600 Detail'!C42+'F600 Detail'!C51</f>
        <v>0</v>
      </c>
      <c r="D18" s="6">
        <f>'F600 Detail'!D42+'F600 Detail'!D51</f>
        <v>19910.25</v>
      </c>
      <c r="E18" s="6">
        <f>'F600 Detail'!E42+'F600 Detail'!E51</f>
        <v>679.48</v>
      </c>
      <c r="F18" s="6">
        <f>'F600 Detail'!F42+'F600 Detail'!F51</f>
        <v>0</v>
      </c>
      <c r="G18" s="6">
        <f t="shared" si="1"/>
        <v>-19910.25</v>
      </c>
    </row>
    <row r="19" spans="1:7">
      <c r="A19" s="17" t="s">
        <v>16</v>
      </c>
      <c r="B19" s="6">
        <f>'F600 Detail'!B60+'F600 Detail'!B69+'F600 Detail'!B78+'F600 Detail'!B87+'F600 Detail'!B96+'F600 Detail'!B105</f>
        <v>1093321.1900000002</v>
      </c>
      <c r="C19" s="6">
        <f>'F600 Detail'!C60+'F600 Detail'!C69+'F600 Detail'!C78+'F600 Detail'!C87+'F600 Detail'!C96+'F600 Detail'!C105</f>
        <v>15137796.91</v>
      </c>
      <c r="D19" s="6">
        <f>'F600 Detail'!D60+'F600 Detail'!D69+'F600 Detail'!D78+'F600 Detail'!D87+'F600 Detail'!D96+'F600 Detail'!D105</f>
        <v>7740486.8600000003</v>
      </c>
      <c r="E19" s="6">
        <f>'F600 Detail'!E60+'F600 Detail'!E69+'F600 Detail'!E78+'F600 Detail'!E87+'F600 Detail'!E96+'F600 Detail'!E105</f>
        <v>345984.56</v>
      </c>
      <c r="F19" s="6">
        <f>'F600 Detail'!F60+'F600 Detail'!F69+'F600 Detail'!F78+'F600 Detail'!F87+'F600 Detail'!F96+'F600 Detail'!F105</f>
        <v>0</v>
      </c>
      <c r="G19" s="6">
        <f t="shared" si="1"/>
        <v>-7740486.8600000003</v>
      </c>
    </row>
    <row r="20" spans="1:7">
      <c r="A20" s="17" t="s">
        <v>17</v>
      </c>
      <c r="B20" s="6">
        <f>'F600 Detail'!B114</f>
        <v>0</v>
      </c>
      <c r="C20" s="6">
        <f>'F600 Detail'!C114</f>
        <v>0</v>
      </c>
      <c r="D20" s="6">
        <f>'F600 Detail'!D114</f>
        <v>0</v>
      </c>
      <c r="E20" s="6">
        <f>'F600 Detail'!E114</f>
        <v>0</v>
      </c>
      <c r="F20" s="6">
        <f>'F600 Detail'!F114</f>
        <v>0</v>
      </c>
      <c r="G20" s="6">
        <f t="shared" si="1"/>
        <v>0</v>
      </c>
    </row>
    <row r="21" spans="1:7">
      <c r="A21" s="8" t="s">
        <v>54</v>
      </c>
      <c r="B21" s="6">
        <f>'F600 Detail'!B123+'F600 Detail'!B132+'F600 Detail'!B141</f>
        <v>1889</v>
      </c>
      <c r="C21" s="6">
        <f>'F600 Detail'!C123+'F600 Detail'!C132+'F600 Detail'!C141</f>
        <v>1935.59</v>
      </c>
      <c r="D21" s="6">
        <f>'F600 Detail'!D123+'F600 Detail'!D132+'F600 Detail'!D141</f>
        <v>9550.2000000000007</v>
      </c>
      <c r="E21" s="6">
        <f>'F600 Detail'!E123+'F600 Detail'!E132+'F600 Detail'!E141</f>
        <v>145.24</v>
      </c>
      <c r="F21" s="6">
        <f>'F600 Detail'!F123+'F600 Detail'!F132+'F600 Detail'!F141</f>
        <v>0</v>
      </c>
      <c r="G21" s="6">
        <f t="shared" si="1"/>
        <v>-9550.2000000000007</v>
      </c>
    </row>
    <row r="22" spans="1:7">
      <c r="A22" s="17" t="s">
        <v>19</v>
      </c>
      <c r="B22" s="6">
        <f>'F600 Detail'!B150</f>
        <v>0</v>
      </c>
      <c r="C22" s="6">
        <f>'F600 Detail'!C150</f>
        <v>0</v>
      </c>
      <c r="D22" s="6">
        <f>'F600 Detail'!D150</f>
        <v>0</v>
      </c>
      <c r="E22" s="6">
        <f>'F600 Detail'!E150</f>
        <v>0</v>
      </c>
      <c r="F22" s="6">
        <f>'F600 Detail'!F150</f>
        <v>0</v>
      </c>
      <c r="G22" s="6">
        <f t="shared" si="1"/>
        <v>0</v>
      </c>
    </row>
    <row r="23" spans="1:7">
      <c r="A23" s="8" t="s">
        <v>58</v>
      </c>
      <c r="B23" s="6">
        <f>'F600 Detail'!B159</f>
        <v>709488.10000000009</v>
      </c>
      <c r="C23" s="6">
        <f>'F600 Detail'!C159</f>
        <v>736199.65</v>
      </c>
      <c r="D23" s="6">
        <f>'F600 Detail'!D159</f>
        <v>758085</v>
      </c>
      <c r="E23" s="6">
        <f>'F600 Detail'!E159</f>
        <v>0</v>
      </c>
      <c r="F23" s="6">
        <f>'F600 Detail'!F159</f>
        <v>0</v>
      </c>
      <c r="G23" s="6">
        <f t="shared" si="1"/>
        <v>-758085</v>
      </c>
    </row>
    <row r="24" spans="1:7">
      <c r="A24" s="17" t="s">
        <v>21</v>
      </c>
      <c r="B24" s="6">
        <f>'F600 Detail'!B168</f>
        <v>66483482.489999987</v>
      </c>
      <c r="C24" s="6">
        <f>'F600 Detail'!C168</f>
        <v>93207001.730000049</v>
      </c>
      <c r="D24" s="6">
        <f>'F600 Detail'!D168</f>
        <v>97337324.310000002</v>
      </c>
      <c r="E24" s="6">
        <f>'F600 Detail'!E168</f>
        <v>211886385.68000001</v>
      </c>
      <c r="F24" s="6">
        <f>'F600 Detail'!F168</f>
        <v>187348579.40000001</v>
      </c>
      <c r="G24" s="6">
        <f t="shared" si="1"/>
        <v>90011255.090000004</v>
      </c>
    </row>
    <row r="25" spans="1:7" ht="17.25">
      <c r="A25" s="17" t="s">
        <v>22</v>
      </c>
      <c r="B25" s="19">
        <f>'F600 Detail'!B177+'F600 Detail'!B186+'F600 Detail'!B195+'F600 Detail'!B204+'F600 Detail'!B213</f>
        <v>0</v>
      </c>
      <c r="C25" s="19">
        <f>'F600 Detail'!C177+'F600 Detail'!C186+'F600 Detail'!C195+'F600 Detail'!C204+'F600 Detail'!C213</f>
        <v>0</v>
      </c>
      <c r="D25" s="19">
        <f>'F600 Detail'!D177+'F600 Detail'!D186+'F600 Detail'!D195+'F600 Detail'!D204+'F600 Detail'!D213</f>
        <v>0</v>
      </c>
      <c r="E25" s="19">
        <f>'F600 Detail'!E177+'F600 Detail'!E186+'F600 Detail'!E195+'F600 Detail'!E204+'F600 Detail'!E213</f>
        <v>0</v>
      </c>
      <c r="F25" s="19">
        <f>'F600 Detail'!F177+'F600 Detail'!F186+'F600 Detail'!F195+'F600 Detail'!F204+'F600 Detail'!F213</f>
        <v>0</v>
      </c>
      <c r="G25" s="19">
        <f t="shared" si="1"/>
        <v>0</v>
      </c>
    </row>
    <row r="26" spans="1:7">
      <c r="A26" s="17"/>
      <c r="B26" s="17"/>
      <c r="C26" s="17"/>
      <c r="D26" s="17"/>
      <c r="E26" s="17"/>
      <c r="F26" s="17"/>
      <c r="G26" s="17"/>
    </row>
    <row r="27" spans="1:7" ht="17.25">
      <c r="A27" s="17" t="s">
        <v>23</v>
      </c>
      <c r="B27" s="20">
        <f>SUM(B17:B25)</f>
        <v>68778279.589999989</v>
      </c>
      <c r="C27" s="20">
        <f>SUM(C17:C25)-3</f>
        <v>109455378.22000004</v>
      </c>
      <c r="D27" s="20">
        <f>SUM(D17:D25)+1</f>
        <v>107309811.82000001</v>
      </c>
      <c r="E27" s="20">
        <f>SUM(E17:E25)</f>
        <v>212248352.01000002</v>
      </c>
      <c r="F27" s="20">
        <f>SUM(F17:F25)</f>
        <v>187624967.40000001</v>
      </c>
      <c r="G27" s="20">
        <f>SUM(G17:G25)</f>
        <v>80315156.579999998</v>
      </c>
    </row>
    <row r="28" spans="1:7">
      <c r="A28" s="17"/>
      <c r="B28" s="17"/>
      <c r="C28" s="17"/>
      <c r="D28" s="17"/>
      <c r="E28" s="17"/>
      <c r="F28" s="17"/>
      <c r="G28" s="17"/>
    </row>
    <row r="29" spans="1:7">
      <c r="A29" s="17" t="s">
        <v>24</v>
      </c>
      <c r="B29" s="17"/>
      <c r="C29" s="17"/>
      <c r="D29" s="17"/>
      <c r="E29" s="17"/>
      <c r="F29" s="17"/>
      <c r="G29" s="17"/>
    </row>
    <row r="30" spans="1:7">
      <c r="A30" s="17" t="s">
        <v>25</v>
      </c>
      <c r="B30" s="43">
        <f>+B13-B27</f>
        <v>-68267766.589999989</v>
      </c>
      <c r="C30" s="43">
        <f>+C13-C27</f>
        <v>-108581777.22000004</v>
      </c>
      <c r="D30" s="43">
        <f>+D13-D27</f>
        <v>-105423653.7</v>
      </c>
      <c r="E30" s="43">
        <f>+E13-E27</f>
        <v>-211496279.01000002</v>
      </c>
      <c r="F30" s="43">
        <f>+F13-F27</f>
        <v>-185704101.28999999</v>
      </c>
      <c r="G30" s="6">
        <f>F30-D30</f>
        <v>-80280447.589999989</v>
      </c>
    </row>
    <row r="31" spans="1:7">
      <c r="A31" s="17"/>
      <c r="B31" s="17"/>
      <c r="C31" s="17"/>
      <c r="D31" s="17"/>
      <c r="E31" s="17"/>
      <c r="F31" s="17"/>
      <c r="G31" s="6"/>
    </row>
    <row r="32" spans="1:7">
      <c r="A32" s="17" t="s">
        <v>26</v>
      </c>
      <c r="B32" s="6">
        <f>90520000+10189488</f>
        <v>100709488</v>
      </c>
      <c r="C32" s="6">
        <f>(94890000+20341855+5846200)</f>
        <v>121078055</v>
      </c>
      <c r="D32" s="6">
        <v>103664225.14</v>
      </c>
      <c r="E32" s="6">
        <v>199000000</v>
      </c>
      <c r="F32" s="6">
        <v>0</v>
      </c>
      <c r="G32" s="6">
        <f>F32-D32</f>
        <v>-103664225.14</v>
      </c>
    </row>
    <row r="33" spans="1:7" ht="17.25">
      <c r="A33" s="17" t="s">
        <v>27</v>
      </c>
      <c r="B33" s="19">
        <v>-39077467</v>
      </c>
      <c r="C33" s="19">
        <v>0</v>
      </c>
      <c r="D33" s="19">
        <f>-1133454.91-623666.83</f>
        <v>-1757121.7399999998</v>
      </c>
      <c r="E33" s="19">
        <v>0</v>
      </c>
      <c r="F33" s="19">
        <v>0</v>
      </c>
      <c r="G33" s="19">
        <f>F33-D33</f>
        <v>1757121.7399999998</v>
      </c>
    </row>
    <row r="34" spans="1:7">
      <c r="A34" s="17"/>
      <c r="B34" s="17"/>
      <c r="C34" s="17"/>
      <c r="D34" s="17"/>
      <c r="E34" s="17"/>
      <c r="F34" s="17"/>
      <c r="G34" s="17"/>
    </row>
    <row r="35" spans="1:7">
      <c r="A35" s="21"/>
      <c r="B35" s="21"/>
      <c r="C35" s="21"/>
      <c r="D35" s="21"/>
      <c r="E35" s="21"/>
      <c r="F35" s="21"/>
      <c r="G35" s="21"/>
    </row>
    <row r="36" spans="1:7">
      <c r="A36" s="17" t="s">
        <v>28</v>
      </c>
      <c r="B36" s="17"/>
      <c r="C36" s="17"/>
      <c r="D36" s="17"/>
      <c r="E36" s="17"/>
      <c r="F36" s="17"/>
      <c r="G36" s="17"/>
    </row>
    <row r="37" spans="1:7">
      <c r="A37" s="17" t="s">
        <v>29</v>
      </c>
      <c r="B37" s="17">
        <f>SUM(B30:B33)</f>
        <v>-6635745.5899999887</v>
      </c>
      <c r="C37" s="17">
        <f>SUM(C30:C33)</f>
        <v>12496277.779999956</v>
      </c>
      <c r="D37" s="17">
        <f>ROUND(SUM(D30:D33),0)</f>
        <v>-3516550</v>
      </c>
      <c r="E37" s="43">
        <f>ROUND(SUM(E30:E33),0)</f>
        <v>-12496279</v>
      </c>
      <c r="F37" s="43">
        <f>ROUND(SUM(F30:F33),0)</f>
        <v>-185704101</v>
      </c>
      <c r="G37" s="6">
        <f>F37-D37</f>
        <v>-182187551</v>
      </c>
    </row>
    <row r="38" spans="1:7">
      <c r="A38" s="17"/>
      <c r="B38" s="17"/>
      <c r="C38" s="17"/>
      <c r="D38" s="17"/>
      <c r="E38" s="17"/>
      <c r="F38" s="17"/>
      <c r="G38" s="17"/>
    </row>
    <row r="39" spans="1:7">
      <c r="A39" s="17" t="s">
        <v>30</v>
      </c>
      <c r="B39" s="17">
        <v>114365719</v>
      </c>
      <c r="C39" s="17">
        <f>B43</f>
        <v>107729973.41000001</v>
      </c>
      <c r="D39" s="17">
        <f>C43</f>
        <v>120226251.18999997</v>
      </c>
      <c r="E39" s="17">
        <f>D43</f>
        <v>116709700</v>
      </c>
      <c r="F39" s="17">
        <f>E43</f>
        <v>104213421</v>
      </c>
      <c r="G39" s="6">
        <f>F39-D39</f>
        <v>-16012830.189999968</v>
      </c>
    </row>
    <row r="40" spans="1:7">
      <c r="A40" s="17"/>
      <c r="B40" s="17"/>
      <c r="C40" s="17"/>
      <c r="D40" s="17"/>
      <c r="E40" s="17"/>
      <c r="F40" s="17"/>
      <c r="G40" s="17"/>
    </row>
    <row r="41" spans="1:7" ht="17.25">
      <c r="A41" s="17" t="s">
        <v>31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19">
        <f>F41-D41</f>
        <v>0</v>
      </c>
    </row>
    <row r="42" spans="1:7">
      <c r="A42" s="17"/>
      <c r="B42" s="17"/>
      <c r="C42" s="17"/>
      <c r="D42" s="17"/>
      <c r="E42" s="17"/>
      <c r="F42" s="17"/>
      <c r="G42" s="17"/>
    </row>
    <row r="43" spans="1:7" ht="17.25">
      <c r="A43" s="16" t="s">
        <v>68</v>
      </c>
      <c r="B43" s="20">
        <f>SUM(B37:B41)</f>
        <v>107729973.41000001</v>
      </c>
      <c r="C43" s="20">
        <f>SUM(C37:C41)</f>
        <v>120226251.18999997</v>
      </c>
      <c r="D43" s="20">
        <f>ROUND(SUM(D37:D41),0)-1</f>
        <v>116709700</v>
      </c>
      <c r="E43" s="20">
        <f>ROUND(SUM(E37:E41),0)</f>
        <v>104213421</v>
      </c>
      <c r="F43" s="20">
        <f>ROUND(SUM(F37:F41),0)</f>
        <v>-81490680</v>
      </c>
      <c r="G43" s="22">
        <f>SUM(G37:G41)</f>
        <v>-198200381.18999997</v>
      </c>
    </row>
    <row r="44" spans="1:7">
      <c r="A44" s="17"/>
      <c r="B44" s="17"/>
      <c r="C44" s="17"/>
      <c r="D44" s="17"/>
      <c r="E44" s="17"/>
      <c r="F44" s="17"/>
      <c r="G44" s="17"/>
    </row>
    <row r="45" spans="1:7">
      <c r="A45" s="23"/>
      <c r="B45" s="5"/>
      <c r="C45" s="5"/>
      <c r="D45" s="5"/>
      <c r="E45" s="5"/>
      <c r="F45" s="5"/>
      <c r="G45" s="5"/>
    </row>
    <row r="46" spans="1:7">
      <c r="A46" s="23"/>
      <c r="B46" s="5"/>
      <c r="C46" s="5"/>
      <c r="D46" s="5"/>
      <c r="E46" s="5"/>
      <c r="F46" s="5"/>
      <c r="G46" s="5"/>
    </row>
    <row r="47" spans="1:7">
      <c r="A47" s="23"/>
      <c r="B47" s="24"/>
      <c r="C47" s="24"/>
      <c r="D47" s="24"/>
      <c r="E47" s="24"/>
      <c r="F47" s="24"/>
      <c r="G47" s="24"/>
    </row>
    <row r="48" spans="1:7">
      <c r="A48" s="23"/>
      <c r="B48" s="17"/>
      <c r="C48" s="17"/>
      <c r="D48" s="17"/>
      <c r="E48" s="17"/>
      <c r="F48" s="17"/>
      <c r="G48" s="17"/>
    </row>
    <row r="49" spans="1:7">
      <c r="B49" s="8"/>
      <c r="C49" s="8"/>
      <c r="D49" s="8"/>
      <c r="E49" s="8"/>
      <c r="F49" s="8"/>
      <c r="G49" s="8"/>
    </row>
    <row r="50" spans="1:7">
      <c r="B50" s="8"/>
      <c r="C50" s="8"/>
      <c r="D50" s="8"/>
      <c r="E50" s="8"/>
      <c r="F50" s="8"/>
      <c r="G50" s="8"/>
    </row>
    <row r="51" spans="1:7">
      <c r="B51" s="8"/>
      <c r="C51" s="8"/>
      <c r="D51" s="8"/>
      <c r="E51" s="8"/>
      <c r="F51" s="8"/>
      <c r="G51" s="8"/>
    </row>
    <row r="52" spans="1:7">
      <c r="A52" s="8"/>
      <c r="B52" s="8"/>
      <c r="C52" s="8"/>
      <c r="D52" s="8"/>
      <c r="E52" s="8"/>
      <c r="F52" s="8"/>
      <c r="G52" s="8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8"/>
      <c r="E54" s="8"/>
      <c r="F54" s="8"/>
      <c r="G54" s="8"/>
    </row>
    <row r="55" spans="1:7">
      <c r="A55" s="8"/>
      <c r="B55" s="8"/>
      <c r="C55" s="8"/>
      <c r="D55" s="8"/>
      <c r="E55" s="8"/>
      <c r="F55" s="8"/>
      <c r="G55" s="8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8"/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3"/>
      <c r="B68" s="3"/>
      <c r="C68" s="3"/>
      <c r="D68" s="3"/>
      <c r="E68" s="3"/>
      <c r="F68" s="3"/>
      <c r="G68" s="3"/>
    </row>
    <row r="69" spans="1:7">
      <c r="A69" s="3"/>
      <c r="B69" s="3"/>
      <c r="C69" s="3"/>
      <c r="D69" s="3"/>
      <c r="E69" s="3"/>
      <c r="F69" s="3"/>
      <c r="G69" s="3"/>
    </row>
    <row r="70" spans="1:7">
      <c r="A70" s="3"/>
      <c r="B70" s="3"/>
      <c r="C70" s="3"/>
      <c r="D70" s="3"/>
      <c r="E70" s="3"/>
      <c r="F70" s="3"/>
      <c r="G70" s="3"/>
    </row>
    <row r="71" spans="1:7">
      <c r="A71" s="3"/>
      <c r="B71" s="3"/>
      <c r="C71" s="3"/>
      <c r="D71" s="3"/>
      <c r="E71" s="3"/>
      <c r="F71" s="3"/>
      <c r="G71" s="3"/>
    </row>
    <row r="72" spans="1:7">
      <c r="A72" s="8"/>
      <c r="B72" s="8"/>
      <c r="C72" s="8"/>
      <c r="D72" s="8"/>
      <c r="E72" s="8"/>
      <c r="F72" s="8"/>
      <c r="G72" s="8"/>
    </row>
    <row r="73" spans="1:7">
      <c r="A73" s="8"/>
      <c r="B73" s="8"/>
      <c r="C73" s="8"/>
      <c r="D73" s="11"/>
      <c r="E73" s="11"/>
      <c r="F73" s="3"/>
      <c r="G73" s="3"/>
    </row>
    <row r="74" spans="1:7">
      <c r="A74" s="8"/>
      <c r="B74" s="8"/>
      <c r="C74" s="11"/>
      <c r="D74" s="11"/>
      <c r="E74" s="11"/>
      <c r="F74" s="11"/>
      <c r="G74" s="11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8"/>
      <c r="E77" s="8"/>
      <c r="F77" s="8"/>
      <c r="G77" s="8"/>
    </row>
    <row r="78" spans="1:7">
      <c r="A78" s="8"/>
      <c r="B78" s="8"/>
      <c r="C78" s="8"/>
      <c r="D78" s="8"/>
      <c r="E78" s="8"/>
      <c r="F78" s="8"/>
      <c r="G78" s="8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8"/>
      <c r="D80" s="8"/>
      <c r="E80" s="8"/>
      <c r="F80" s="8"/>
      <c r="G80" s="8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8"/>
      <c r="E82" s="8"/>
      <c r="F82" s="8"/>
      <c r="G82" s="8"/>
    </row>
    <row r="83" spans="1:7">
      <c r="A83" s="8"/>
      <c r="B83" s="8"/>
      <c r="C83" s="8"/>
      <c r="D83" s="8"/>
      <c r="E83" s="8"/>
      <c r="F83" s="8"/>
      <c r="G83" s="8"/>
    </row>
    <row r="84" spans="1:7">
      <c r="A84" s="8"/>
      <c r="B84" s="8"/>
      <c r="C84" s="8"/>
      <c r="D84" s="8"/>
      <c r="E84" s="8"/>
      <c r="F84" s="8"/>
      <c r="G84" s="8"/>
    </row>
    <row r="85" spans="1:7">
      <c r="A85" s="12"/>
      <c r="B85" s="12"/>
      <c r="C85" s="12"/>
      <c r="D85" s="12"/>
      <c r="E85" s="12"/>
      <c r="F85" s="12"/>
      <c r="G85" s="12"/>
    </row>
    <row r="86" spans="1:7">
      <c r="A86" s="8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13"/>
      <c r="D88" s="13"/>
      <c r="E88" s="13"/>
      <c r="F88" s="8"/>
      <c r="G88" s="8"/>
    </row>
    <row r="89" spans="1:7">
      <c r="A89" s="8"/>
      <c r="B89" s="8"/>
      <c r="C89" s="13"/>
      <c r="D89" s="8"/>
      <c r="E89" s="8"/>
      <c r="F89" s="8"/>
      <c r="G89" s="8"/>
    </row>
    <row r="90" spans="1:7">
      <c r="A90" s="8"/>
      <c r="B90" s="8"/>
      <c r="C90" s="13"/>
      <c r="D90" s="8"/>
      <c r="E90" s="8"/>
      <c r="F90" s="8"/>
      <c r="G90" s="8"/>
    </row>
    <row r="91" spans="1:7">
      <c r="A91" s="8"/>
      <c r="B91" s="8"/>
      <c r="C91" s="13"/>
      <c r="D91" s="8"/>
      <c r="E91" s="8"/>
      <c r="F91" s="8"/>
      <c r="G91" s="8"/>
    </row>
    <row r="92" spans="1:7">
      <c r="A92" s="8"/>
      <c r="B92" s="8"/>
      <c r="C92" s="8"/>
      <c r="D92" s="8"/>
      <c r="E92" s="8"/>
      <c r="F92" s="8"/>
      <c r="G92" s="8"/>
    </row>
    <row r="93" spans="1:7">
      <c r="A93" s="8"/>
      <c r="B93" s="8"/>
      <c r="C93" s="8"/>
      <c r="D93" s="8"/>
      <c r="E93" s="8"/>
      <c r="F93" s="8"/>
      <c r="G93" s="8"/>
    </row>
    <row r="94" spans="1:7">
      <c r="A94" s="8"/>
      <c r="B94" s="8"/>
      <c r="C94" s="13"/>
      <c r="D94" s="8"/>
      <c r="E94" s="8"/>
      <c r="F94" s="8"/>
      <c r="G94" s="8"/>
    </row>
    <row r="95" spans="1:7">
      <c r="A95" s="8"/>
      <c r="B95" s="8"/>
      <c r="C95" s="8"/>
      <c r="D95" s="8"/>
      <c r="E95" s="8"/>
      <c r="F95" s="8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8"/>
      <c r="D97" s="8"/>
      <c r="E97" s="8"/>
      <c r="F97" s="8"/>
      <c r="G97" s="8"/>
    </row>
    <row r="98" spans="1:7">
      <c r="A98" s="8"/>
      <c r="B98" s="8"/>
      <c r="C98" s="8"/>
      <c r="D98" s="8"/>
      <c r="E98" s="8"/>
      <c r="F98" s="8"/>
      <c r="G98" s="8"/>
    </row>
    <row r="99" spans="1:7">
      <c r="A99" s="8"/>
      <c r="B99" s="8"/>
      <c r="C99" s="13"/>
      <c r="D99" s="8"/>
      <c r="E99" s="8"/>
      <c r="F99" s="8"/>
      <c r="G99" s="8"/>
    </row>
    <row r="100" spans="1:7">
      <c r="A100" s="8"/>
      <c r="B100" s="8"/>
      <c r="C100" s="13"/>
      <c r="D100" s="8"/>
      <c r="E100" s="8"/>
      <c r="F100" s="8"/>
      <c r="G100" s="8"/>
    </row>
    <row r="101" spans="1:7">
      <c r="A101" s="8"/>
      <c r="B101" s="8"/>
      <c r="C101" s="13"/>
      <c r="D101" s="13"/>
      <c r="E101" s="13"/>
      <c r="F101" s="8"/>
      <c r="G101" s="8"/>
    </row>
    <row r="102" spans="1:7">
      <c r="A102" s="8"/>
      <c r="B102" s="8"/>
      <c r="C102" s="13"/>
      <c r="D102" s="8"/>
      <c r="E102" s="8"/>
      <c r="F102" s="8"/>
      <c r="G102" s="8"/>
    </row>
    <row r="103" spans="1:7">
      <c r="A103" s="8"/>
      <c r="B103" s="8"/>
      <c r="C103" s="13"/>
      <c r="D103" s="13"/>
      <c r="E103" s="13"/>
      <c r="F103" s="8"/>
      <c r="G103" s="8"/>
    </row>
  </sheetData>
  <mergeCells count="4">
    <mergeCell ref="A4:F4"/>
    <mergeCell ref="A1:F1"/>
    <mergeCell ref="A2:F2"/>
    <mergeCell ref="A3:F3"/>
  </mergeCells>
  <phoneticPr fontId="13" type="noConversion"/>
  <pageMargins left="0.75" right="0.5" top="1" bottom="0.5" header="0.5" footer="0.5"/>
  <pageSetup scale="89" orientation="portrait" horizontalDpi="4294967295" verticalDpi="4294967295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371"/>
  <sheetViews>
    <sheetView topLeftCell="A217" workbookViewId="0">
      <selection activeCell="G53" sqref="G53"/>
    </sheetView>
  </sheetViews>
  <sheetFormatPr defaultColWidth="5.7109375" defaultRowHeight="12.75" customHeight="1"/>
  <cols>
    <col min="1" max="1" width="42.28515625" style="1" customWidth="1"/>
    <col min="2" max="6" width="12.28515625" style="1" customWidth="1"/>
    <col min="7" max="8" width="5.7109375" style="1"/>
    <col min="9" max="9" width="11" style="1" bestFit="1" customWidth="1"/>
    <col min="10" max="16384" width="5.7109375" style="1"/>
  </cols>
  <sheetData>
    <row r="1" spans="1:8" s="29" customFormat="1" ht="15.75">
      <c r="A1" s="207" t="s">
        <v>0</v>
      </c>
      <c r="B1" s="207"/>
      <c r="C1" s="207"/>
      <c r="D1" s="207"/>
      <c r="E1" s="207"/>
      <c r="F1" s="207"/>
    </row>
    <row r="2" spans="1:8" s="29" customFormat="1" ht="15.75">
      <c r="A2" s="208" t="s">
        <v>33</v>
      </c>
      <c r="B2" s="208"/>
      <c r="C2" s="208"/>
      <c r="D2" s="208"/>
      <c r="E2" s="208"/>
      <c r="F2" s="208"/>
    </row>
    <row r="3" spans="1:8" s="29" customFormat="1" ht="15.75">
      <c r="A3" s="213" t="s">
        <v>67</v>
      </c>
      <c r="B3" s="213"/>
      <c r="C3" s="213"/>
      <c r="D3" s="213"/>
      <c r="E3" s="213"/>
      <c r="F3" s="213"/>
    </row>
    <row r="4" spans="1:8" s="29" customFormat="1" ht="15.75">
      <c r="A4" s="206" t="s">
        <v>90</v>
      </c>
      <c r="B4" s="206"/>
      <c r="C4" s="206"/>
      <c r="D4" s="206"/>
      <c r="E4" s="206"/>
      <c r="F4" s="206"/>
    </row>
    <row r="5" spans="1:8" s="29" customFormat="1" ht="15.75">
      <c r="A5" s="31"/>
      <c r="B5" s="31"/>
      <c r="C5" s="31"/>
      <c r="D5" s="58"/>
      <c r="E5" s="58" t="s">
        <v>65</v>
      </c>
      <c r="F5" s="40" t="s">
        <v>65</v>
      </c>
    </row>
    <row r="6" spans="1:8" s="29" customFormat="1" ht="15.75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</row>
    <row r="7" spans="1:8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</row>
    <row r="8" spans="1:8" s="4" customFormat="1" ht="15">
      <c r="A8" s="7" t="s">
        <v>34</v>
      </c>
      <c r="B8" s="9"/>
      <c r="C8" s="9"/>
      <c r="D8" s="9"/>
      <c r="E8" s="9"/>
      <c r="F8" s="9"/>
      <c r="H8" s="9"/>
    </row>
    <row r="9" spans="1:8" s="4" customFormat="1" ht="15">
      <c r="A9" s="8" t="s">
        <v>35</v>
      </c>
      <c r="B9" s="6">
        <v>0</v>
      </c>
      <c r="C9" s="6">
        <v>0</v>
      </c>
      <c r="D9" s="6">
        <v>0</v>
      </c>
      <c r="E9" s="6">
        <v>0</v>
      </c>
      <c r="F9" s="6">
        <v>0</v>
      </c>
      <c r="H9" s="9"/>
    </row>
    <row r="10" spans="1:8" s="4" customFormat="1" ht="15">
      <c r="A10" s="8" t="s">
        <v>36</v>
      </c>
      <c r="B10" s="6">
        <v>0</v>
      </c>
      <c r="C10" s="6">
        <v>0</v>
      </c>
      <c r="D10" s="6">
        <v>0</v>
      </c>
      <c r="E10" s="6">
        <v>0</v>
      </c>
      <c r="F10" s="6">
        <v>0</v>
      </c>
      <c r="H10" s="9"/>
    </row>
    <row r="11" spans="1:8" s="4" customFormat="1" ht="15">
      <c r="A11" s="8" t="s">
        <v>37</v>
      </c>
      <c r="B11" s="6">
        <v>490098.81000000006</v>
      </c>
      <c r="C11" s="6">
        <v>372447.34</v>
      </c>
      <c r="D11" s="6">
        <v>1118767.06</v>
      </c>
      <c r="E11" s="6">
        <v>14184.099999999999</v>
      </c>
      <c r="F11" s="6">
        <v>276388</v>
      </c>
      <c r="H11" s="9"/>
    </row>
    <row r="12" spans="1:8" s="4" customFormat="1" ht="15">
      <c r="A12" s="8" t="s">
        <v>38</v>
      </c>
      <c r="B12" s="6">
        <v>0</v>
      </c>
      <c r="C12" s="6">
        <v>0</v>
      </c>
      <c r="D12" s="6">
        <v>0</v>
      </c>
      <c r="E12" s="6">
        <v>0</v>
      </c>
      <c r="F12" s="6">
        <v>0</v>
      </c>
      <c r="H12" s="9"/>
    </row>
    <row r="13" spans="1:8" s="4" customFormat="1" ht="15">
      <c r="A13" s="8" t="s">
        <v>39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H13" s="9"/>
    </row>
    <row r="14" spans="1:8" s="4" customFormat="1" ht="15">
      <c r="A14" s="8" t="s">
        <v>40</v>
      </c>
      <c r="B14" s="54">
        <v>0</v>
      </c>
      <c r="C14" s="54">
        <v>0</v>
      </c>
      <c r="D14" s="54">
        <v>0</v>
      </c>
      <c r="E14" s="54">
        <v>0</v>
      </c>
      <c r="F14" s="54">
        <v>0</v>
      </c>
      <c r="H14" s="9"/>
    </row>
    <row r="15" spans="1:8" s="4" customFormat="1" ht="15">
      <c r="A15" s="8" t="s">
        <v>42</v>
      </c>
      <c r="B15" s="54">
        <f>SUM(B9:B14)</f>
        <v>490098.81000000006</v>
      </c>
      <c r="C15" s="54">
        <f>SUM(C9:C14)</f>
        <v>372447.34</v>
      </c>
      <c r="D15" s="54">
        <f>SUM(D9:D14)</f>
        <v>1118767.06</v>
      </c>
      <c r="E15" s="54">
        <f>SUM(E9:E14)</f>
        <v>14184.099999999999</v>
      </c>
      <c r="F15" s="54">
        <f>SUM(F9:F14)</f>
        <v>276388</v>
      </c>
      <c r="H15" s="9"/>
    </row>
    <row r="16" spans="1:8" s="4" customFormat="1" ht="15">
      <c r="A16" s="7"/>
      <c r="B16" s="54"/>
      <c r="C16" s="54"/>
      <c r="D16" s="54"/>
      <c r="E16" s="54"/>
      <c r="F16" s="54"/>
      <c r="H16" s="9"/>
    </row>
    <row r="17" spans="1:8" s="4" customFormat="1" ht="15">
      <c r="A17" s="7" t="s">
        <v>41</v>
      </c>
      <c r="B17" s="6"/>
      <c r="C17" s="6"/>
      <c r="D17" s="6"/>
      <c r="E17" s="6"/>
      <c r="F17" s="6"/>
      <c r="H17" s="9"/>
    </row>
    <row r="18" spans="1:8" s="4" customFormat="1" ht="15">
      <c r="A18" s="8" t="s">
        <v>35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H18" s="9"/>
    </row>
    <row r="19" spans="1:8" s="4" customFormat="1" ht="15">
      <c r="A19" s="8" t="s">
        <v>36</v>
      </c>
      <c r="B19" s="6">
        <v>0</v>
      </c>
      <c r="C19" s="6">
        <v>0</v>
      </c>
      <c r="D19" s="6">
        <v>0</v>
      </c>
      <c r="E19" s="6">
        <v>0</v>
      </c>
      <c r="F19" s="6">
        <v>0</v>
      </c>
      <c r="H19" s="9"/>
    </row>
    <row r="20" spans="1:8" s="4" customFormat="1" ht="15">
      <c r="A20" s="8" t="s">
        <v>37</v>
      </c>
      <c r="B20" s="6">
        <v>0</v>
      </c>
      <c r="C20" s="6">
        <v>0</v>
      </c>
      <c r="D20" s="6">
        <v>325687.14</v>
      </c>
      <c r="E20" s="6">
        <v>972.95</v>
      </c>
      <c r="F20" s="6">
        <v>0</v>
      </c>
      <c r="H20" s="9"/>
    </row>
    <row r="21" spans="1:8" s="4" customFormat="1" ht="15">
      <c r="A21" s="8" t="s">
        <v>38</v>
      </c>
      <c r="B21" s="6">
        <v>0</v>
      </c>
      <c r="C21" s="6">
        <v>0</v>
      </c>
      <c r="D21" s="6">
        <v>0</v>
      </c>
      <c r="E21" s="6">
        <v>0</v>
      </c>
      <c r="F21" s="6">
        <v>0</v>
      </c>
      <c r="H21" s="9"/>
    </row>
    <row r="22" spans="1:8" s="4" customFormat="1" ht="15">
      <c r="A22" s="8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H22" s="9"/>
    </row>
    <row r="23" spans="1:8" s="4" customFormat="1" ht="15">
      <c r="A23" s="8" t="s">
        <v>40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H23" s="9"/>
    </row>
    <row r="24" spans="1:8" s="4" customFormat="1" ht="15">
      <c r="A24" s="8" t="s">
        <v>42</v>
      </c>
      <c r="B24" s="54">
        <f>SUM(B18:B23)</f>
        <v>0</v>
      </c>
      <c r="C24" s="54">
        <f>SUM(C18:C23)</f>
        <v>0</v>
      </c>
      <c r="D24" s="54">
        <f>SUM(D18:D23)</f>
        <v>325687.14</v>
      </c>
      <c r="E24" s="54">
        <f>SUM(E18:E23)</f>
        <v>972.95</v>
      </c>
      <c r="F24" s="54">
        <f>SUM(F18:F23)</f>
        <v>0</v>
      </c>
      <c r="H24" s="9"/>
    </row>
    <row r="25" spans="1:8" s="4" customFormat="1" ht="15">
      <c r="A25" s="7"/>
      <c r="B25" s="54"/>
      <c r="C25" s="54"/>
      <c r="D25" s="54"/>
      <c r="E25" s="54"/>
      <c r="F25" s="54"/>
      <c r="H25" s="9"/>
    </row>
    <row r="26" spans="1:8" s="4" customFormat="1" ht="15">
      <c r="A26" s="7" t="s">
        <v>43</v>
      </c>
      <c r="B26" s="6"/>
      <c r="C26" s="6"/>
      <c r="D26" s="6"/>
      <c r="E26" s="6"/>
      <c r="F26" s="6"/>
      <c r="H26" s="9"/>
    </row>
    <row r="27" spans="1:8" s="4" customFormat="1" ht="15">
      <c r="A27" s="8" t="s">
        <v>35</v>
      </c>
      <c r="B27" s="6">
        <v>0</v>
      </c>
      <c r="C27" s="6">
        <v>0</v>
      </c>
      <c r="D27" s="6">
        <v>0</v>
      </c>
      <c r="E27" s="6">
        <v>0</v>
      </c>
      <c r="F27" s="6">
        <v>0</v>
      </c>
      <c r="H27" s="9"/>
    </row>
    <row r="28" spans="1:8" s="4" customFormat="1" ht="15">
      <c r="A28" s="8" t="s">
        <v>36</v>
      </c>
      <c r="B28" s="6">
        <v>0</v>
      </c>
      <c r="C28" s="6">
        <v>0</v>
      </c>
      <c r="D28" s="6">
        <v>0</v>
      </c>
      <c r="E28" s="6">
        <v>0</v>
      </c>
      <c r="F28" s="6">
        <v>0</v>
      </c>
      <c r="H28" s="9"/>
    </row>
    <row r="29" spans="1:8" s="4" customFormat="1" ht="15">
      <c r="A29" s="8" t="s">
        <v>37</v>
      </c>
      <c r="B29" s="6">
        <v>0</v>
      </c>
      <c r="C29" s="6">
        <v>0</v>
      </c>
      <c r="D29" s="6">
        <v>0</v>
      </c>
      <c r="E29" s="6">
        <v>0</v>
      </c>
      <c r="F29" s="6">
        <v>0</v>
      </c>
      <c r="H29" s="9"/>
    </row>
    <row r="30" spans="1:8" s="4" customFormat="1" ht="15">
      <c r="A30" s="8" t="s">
        <v>38</v>
      </c>
      <c r="B30" s="6">
        <v>0</v>
      </c>
      <c r="C30" s="6">
        <v>0</v>
      </c>
      <c r="D30" s="6">
        <v>0</v>
      </c>
      <c r="E30" s="6">
        <v>0</v>
      </c>
      <c r="F30" s="6">
        <v>0</v>
      </c>
      <c r="H30" s="9"/>
    </row>
    <row r="31" spans="1:8" s="4" customFormat="1" ht="15">
      <c r="A31" s="8" t="s">
        <v>39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H31" s="9"/>
    </row>
    <row r="32" spans="1:8" s="4" customFormat="1" ht="15">
      <c r="A32" s="8" t="s">
        <v>40</v>
      </c>
      <c r="B32" s="54">
        <v>0</v>
      </c>
      <c r="C32" s="54">
        <v>0</v>
      </c>
      <c r="D32" s="54">
        <v>0</v>
      </c>
      <c r="E32" s="54">
        <v>0</v>
      </c>
      <c r="F32" s="54">
        <v>0</v>
      </c>
      <c r="H32" s="9"/>
    </row>
    <row r="33" spans="1:8" s="4" customFormat="1" ht="15">
      <c r="A33" s="8" t="s">
        <v>42</v>
      </c>
      <c r="B33" s="54">
        <f>SUM(B27:B32)</f>
        <v>0</v>
      </c>
      <c r="C33" s="54">
        <f>SUM(C27:C32)</f>
        <v>0</v>
      </c>
      <c r="D33" s="54">
        <f>SUM(D27:D32)</f>
        <v>0</v>
      </c>
      <c r="E33" s="54">
        <f>SUM(E27:E32)</f>
        <v>0</v>
      </c>
      <c r="F33" s="54">
        <f>SUM(F27:F32)</f>
        <v>0</v>
      </c>
      <c r="H33" s="9"/>
    </row>
    <row r="34" spans="1:8" s="4" customFormat="1" ht="15">
      <c r="A34" s="7"/>
      <c r="B34" s="54"/>
      <c r="C34" s="54"/>
      <c r="D34" s="54"/>
      <c r="E34" s="54"/>
      <c r="F34" s="54"/>
      <c r="H34" s="9"/>
    </row>
    <row r="35" spans="1:8" s="4" customFormat="1" ht="15">
      <c r="A35" s="7" t="s">
        <v>44</v>
      </c>
      <c r="B35" s="6"/>
      <c r="C35" s="6"/>
      <c r="D35" s="6"/>
      <c r="E35" s="6"/>
      <c r="F35" s="6"/>
      <c r="H35" s="9"/>
    </row>
    <row r="36" spans="1:8" s="4" customFormat="1" ht="15">
      <c r="A36" s="8" t="s">
        <v>35</v>
      </c>
      <c r="B36" s="6">
        <v>0</v>
      </c>
      <c r="C36" s="6">
        <v>0</v>
      </c>
      <c r="D36" s="6">
        <v>0</v>
      </c>
      <c r="E36" s="6">
        <v>0</v>
      </c>
      <c r="F36" s="6">
        <v>0</v>
      </c>
      <c r="H36" s="9"/>
    </row>
    <row r="37" spans="1:8" s="4" customFormat="1" ht="15">
      <c r="A37" s="8" t="s">
        <v>36</v>
      </c>
      <c r="B37" s="6">
        <v>0</v>
      </c>
      <c r="C37" s="6">
        <v>0</v>
      </c>
      <c r="D37" s="6">
        <v>0</v>
      </c>
      <c r="E37" s="6">
        <v>0</v>
      </c>
      <c r="F37" s="6">
        <v>0</v>
      </c>
      <c r="H37" s="9"/>
    </row>
    <row r="38" spans="1:8" s="4" customFormat="1" ht="15">
      <c r="A38" s="8" t="s">
        <v>37</v>
      </c>
      <c r="B38" s="6">
        <v>0</v>
      </c>
      <c r="C38" s="6">
        <v>0</v>
      </c>
      <c r="D38" s="6">
        <v>0</v>
      </c>
      <c r="E38" s="6">
        <v>0</v>
      </c>
      <c r="F38" s="6">
        <v>0</v>
      </c>
      <c r="H38" s="9"/>
    </row>
    <row r="39" spans="1:8" s="4" customFormat="1" ht="15">
      <c r="A39" s="8" t="s">
        <v>38</v>
      </c>
      <c r="B39" s="6">
        <v>0</v>
      </c>
      <c r="C39" s="6">
        <v>0</v>
      </c>
      <c r="D39" s="6">
        <v>0</v>
      </c>
      <c r="E39" s="6">
        <v>0</v>
      </c>
      <c r="F39" s="6">
        <v>0</v>
      </c>
      <c r="H39" s="9"/>
    </row>
    <row r="40" spans="1:8" s="4" customFormat="1" ht="15">
      <c r="A40" s="8" t="s">
        <v>39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H40" s="9"/>
    </row>
    <row r="41" spans="1:8" s="4" customFormat="1" ht="15">
      <c r="A41" s="8" t="s">
        <v>40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H41" s="9"/>
    </row>
    <row r="42" spans="1:8" s="4" customFormat="1" ht="15">
      <c r="A42" s="8" t="s">
        <v>42</v>
      </c>
      <c r="B42" s="54">
        <f>SUM(B36:B41)</f>
        <v>0</v>
      </c>
      <c r="C42" s="54">
        <f>SUM(C36:C41)</f>
        <v>0</v>
      </c>
      <c r="D42" s="54">
        <f>SUM(D36:D41)</f>
        <v>0</v>
      </c>
      <c r="E42" s="54">
        <f>SUM(E36:E41)</f>
        <v>0</v>
      </c>
      <c r="F42" s="54">
        <f>SUM(F36:F41)</f>
        <v>0</v>
      </c>
      <c r="H42" s="9"/>
    </row>
    <row r="43" spans="1:8" s="4" customFormat="1" ht="15">
      <c r="A43" s="7"/>
      <c r="B43" s="54"/>
      <c r="C43" s="54"/>
      <c r="D43" s="54"/>
      <c r="E43" s="54"/>
      <c r="F43" s="54"/>
      <c r="H43" s="9"/>
    </row>
    <row r="44" spans="1:8" s="4" customFormat="1" ht="15">
      <c r="A44" s="7" t="s">
        <v>45</v>
      </c>
      <c r="B44" s="6"/>
      <c r="C44" s="6"/>
      <c r="D44" s="6"/>
      <c r="E44" s="6"/>
      <c r="F44" s="6"/>
      <c r="H44" s="9"/>
    </row>
    <row r="45" spans="1:8" s="4" customFormat="1" ht="15">
      <c r="A45" s="8" t="s">
        <v>35</v>
      </c>
      <c r="B45" s="6">
        <v>0</v>
      </c>
      <c r="C45" s="6">
        <v>0</v>
      </c>
      <c r="D45" s="6">
        <v>0</v>
      </c>
      <c r="E45" s="6">
        <v>0</v>
      </c>
      <c r="F45" s="6">
        <v>0</v>
      </c>
      <c r="H45" s="9"/>
    </row>
    <row r="46" spans="1:8" s="4" customFormat="1" ht="15">
      <c r="A46" s="8" t="s">
        <v>36</v>
      </c>
      <c r="B46" s="6">
        <v>0</v>
      </c>
      <c r="C46" s="6">
        <v>0</v>
      </c>
      <c r="D46" s="6">
        <v>0</v>
      </c>
      <c r="E46" s="6">
        <v>0</v>
      </c>
      <c r="F46" s="6">
        <v>0</v>
      </c>
      <c r="H46" s="9"/>
    </row>
    <row r="47" spans="1:8" s="4" customFormat="1" ht="15">
      <c r="A47" s="8" t="s">
        <v>37</v>
      </c>
      <c r="B47" s="6">
        <v>0</v>
      </c>
      <c r="C47" s="6">
        <v>0</v>
      </c>
      <c r="D47" s="6">
        <v>19910.25</v>
      </c>
      <c r="E47" s="6">
        <v>679.48</v>
      </c>
      <c r="F47" s="6">
        <v>0</v>
      </c>
      <c r="H47" s="9"/>
    </row>
    <row r="48" spans="1:8" s="4" customFormat="1" ht="15">
      <c r="A48" s="8" t="s">
        <v>38</v>
      </c>
      <c r="B48" s="6">
        <v>0</v>
      </c>
      <c r="C48" s="6">
        <v>0</v>
      </c>
      <c r="D48" s="6">
        <v>0</v>
      </c>
      <c r="E48" s="6">
        <v>0</v>
      </c>
      <c r="F48" s="6">
        <v>0</v>
      </c>
      <c r="H48" s="9"/>
    </row>
    <row r="49" spans="1:8" s="4" customFormat="1" ht="15">
      <c r="A49" s="8" t="s">
        <v>39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H49" s="9"/>
    </row>
    <row r="50" spans="1:8" s="4" customFormat="1" ht="15">
      <c r="A50" s="8" t="s">
        <v>40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H50" s="9"/>
    </row>
    <row r="51" spans="1:8" s="4" customFormat="1" ht="15">
      <c r="A51" s="8" t="s">
        <v>42</v>
      </c>
      <c r="B51" s="54">
        <f>SUM(B45:B50)</f>
        <v>0</v>
      </c>
      <c r="C51" s="54">
        <f>SUM(C45:C50)</f>
        <v>0</v>
      </c>
      <c r="D51" s="54">
        <f>SUM(D45:D50)</f>
        <v>19910.25</v>
      </c>
      <c r="E51" s="54">
        <f>SUM(E45:E50)</f>
        <v>679.48</v>
      </c>
      <c r="F51" s="54">
        <f>SUM(F45:F50)</f>
        <v>0</v>
      </c>
      <c r="H51" s="9"/>
    </row>
    <row r="52" spans="1:8" s="4" customFormat="1" ht="15">
      <c r="A52" s="7"/>
      <c r="B52" s="6"/>
      <c r="C52" s="6"/>
      <c r="D52" s="6"/>
      <c r="E52" s="6"/>
      <c r="F52" s="6"/>
      <c r="H52" s="9"/>
    </row>
    <row r="53" spans="1:8" s="4" customFormat="1" ht="15">
      <c r="A53" s="7" t="s">
        <v>46</v>
      </c>
      <c r="B53" s="6"/>
      <c r="C53" s="6"/>
      <c r="D53" s="6"/>
      <c r="E53" s="6"/>
      <c r="F53" s="6"/>
      <c r="H53" s="9"/>
    </row>
    <row r="54" spans="1:8" s="4" customFormat="1" ht="15">
      <c r="A54" s="8" t="s">
        <v>35</v>
      </c>
      <c r="B54" s="6">
        <v>0</v>
      </c>
      <c r="C54" s="6">
        <v>0</v>
      </c>
      <c r="D54" s="6">
        <v>0</v>
      </c>
      <c r="E54" s="6">
        <v>0</v>
      </c>
      <c r="F54" s="6">
        <v>0</v>
      </c>
      <c r="H54" s="9"/>
    </row>
    <row r="55" spans="1:8" s="4" customFormat="1" ht="15">
      <c r="A55" s="8" t="s">
        <v>36</v>
      </c>
      <c r="B55" s="6">
        <v>0</v>
      </c>
      <c r="C55" s="6">
        <v>0</v>
      </c>
      <c r="D55" s="6">
        <v>0</v>
      </c>
      <c r="E55" s="6">
        <v>0</v>
      </c>
      <c r="F55" s="6">
        <v>0</v>
      </c>
      <c r="H55" s="9"/>
    </row>
    <row r="56" spans="1:8" s="4" customFormat="1" ht="15">
      <c r="A56" s="8" t="s">
        <v>37</v>
      </c>
      <c r="B56" s="6">
        <v>0</v>
      </c>
      <c r="C56" s="6">
        <v>0</v>
      </c>
      <c r="D56" s="6">
        <v>7426.11</v>
      </c>
      <c r="E56" s="6">
        <v>0</v>
      </c>
      <c r="F56" s="6">
        <v>0</v>
      </c>
      <c r="H56" s="9"/>
    </row>
    <row r="57" spans="1:8" s="4" customFormat="1" ht="15">
      <c r="A57" s="8" t="s">
        <v>38</v>
      </c>
      <c r="B57" s="6">
        <v>0</v>
      </c>
      <c r="C57" s="6">
        <v>0</v>
      </c>
      <c r="D57" s="6">
        <v>0</v>
      </c>
      <c r="E57" s="6">
        <v>0</v>
      </c>
      <c r="F57" s="6">
        <v>0</v>
      </c>
      <c r="H57" s="9"/>
    </row>
    <row r="58" spans="1:8" s="4" customFormat="1" ht="15">
      <c r="A58" s="8" t="s">
        <v>39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H58" s="9"/>
    </row>
    <row r="59" spans="1:8" s="4" customFormat="1" ht="15">
      <c r="A59" s="8" t="s">
        <v>40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H59" s="9"/>
    </row>
    <row r="60" spans="1:8" s="4" customFormat="1" ht="15">
      <c r="A60" s="8" t="s">
        <v>42</v>
      </c>
      <c r="B60" s="54">
        <f>SUM(B54:B59)</f>
        <v>0</v>
      </c>
      <c r="C60" s="54">
        <f>SUM(C54:C59)</f>
        <v>0</v>
      </c>
      <c r="D60" s="54">
        <f>SUM(D54:D59)</f>
        <v>7426.11</v>
      </c>
      <c r="E60" s="54">
        <f>SUM(E54:E59)</f>
        <v>0</v>
      </c>
      <c r="F60" s="54">
        <f>SUM(F54:F59)</f>
        <v>0</v>
      </c>
      <c r="H60" s="9"/>
    </row>
    <row r="61" spans="1:8" s="4" customFormat="1" ht="15">
      <c r="A61" s="7"/>
      <c r="B61" s="54"/>
      <c r="C61" s="54"/>
      <c r="D61" s="54"/>
      <c r="E61" s="54"/>
      <c r="F61" s="54"/>
      <c r="H61" s="9"/>
    </row>
    <row r="62" spans="1:8" s="4" customFormat="1" ht="15">
      <c r="A62" s="7" t="s">
        <v>47</v>
      </c>
      <c r="B62" s="6"/>
      <c r="C62" s="6"/>
      <c r="D62" s="6"/>
      <c r="E62" s="6"/>
      <c r="F62" s="6"/>
      <c r="H62" s="9"/>
    </row>
    <row r="63" spans="1:8" s="4" customFormat="1" ht="15">
      <c r="A63" s="8" t="s">
        <v>35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H63" s="9"/>
    </row>
    <row r="64" spans="1:8" s="4" customFormat="1" ht="15">
      <c r="A64" s="8" t="s">
        <v>36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H64" s="9"/>
    </row>
    <row r="65" spans="1:8" s="4" customFormat="1" ht="15">
      <c r="A65" s="8" t="s">
        <v>37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H65" s="9"/>
    </row>
    <row r="66" spans="1:8" s="4" customFormat="1" ht="15">
      <c r="A66" s="8" t="s">
        <v>38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H66" s="9"/>
    </row>
    <row r="67" spans="1:8" s="4" customFormat="1" ht="15">
      <c r="A67" s="8" t="s">
        <v>39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H67" s="9"/>
    </row>
    <row r="68" spans="1:8" s="4" customFormat="1" ht="15">
      <c r="A68" s="8" t="s">
        <v>40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H68" s="9"/>
    </row>
    <row r="69" spans="1:8" s="4" customFormat="1" ht="15">
      <c r="A69" s="8" t="s">
        <v>42</v>
      </c>
      <c r="B69" s="54">
        <f>SUM(B63:B68)</f>
        <v>0</v>
      </c>
      <c r="C69" s="54">
        <f>SUM(C63:C68)</f>
        <v>0</v>
      </c>
      <c r="D69" s="54">
        <f>SUM(D63:D68)</f>
        <v>0</v>
      </c>
      <c r="E69" s="54">
        <f>SUM(E63:E68)</f>
        <v>0</v>
      </c>
      <c r="F69" s="54">
        <f>SUM(F63:F68)</f>
        <v>0</v>
      </c>
      <c r="H69" s="9"/>
    </row>
    <row r="70" spans="1:8" s="4" customFormat="1" ht="15">
      <c r="A70" s="7"/>
      <c r="B70" s="54"/>
      <c r="C70" s="54"/>
      <c r="D70" s="54"/>
      <c r="E70" s="54"/>
      <c r="F70" s="54"/>
      <c r="H70" s="9"/>
    </row>
    <row r="71" spans="1:8" s="4" customFormat="1" ht="15">
      <c r="A71" s="7" t="s">
        <v>48</v>
      </c>
      <c r="B71" s="6"/>
      <c r="C71" s="6"/>
      <c r="D71" s="6"/>
      <c r="E71" s="6"/>
      <c r="F71" s="6"/>
      <c r="H71" s="9"/>
    </row>
    <row r="72" spans="1:8" s="4" customFormat="1" ht="15">
      <c r="A72" s="8" t="s">
        <v>35</v>
      </c>
      <c r="B72" s="6">
        <v>0</v>
      </c>
      <c r="C72" s="6">
        <v>0</v>
      </c>
      <c r="D72" s="6">
        <v>0</v>
      </c>
      <c r="E72" s="6">
        <v>0</v>
      </c>
      <c r="F72" s="6">
        <v>0</v>
      </c>
      <c r="H72" s="9"/>
    </row>
    <row r="73" spans="1:8" s="4" customFormat="1" ht="15">
      <c r="A73" s="8" t="s">
        <v>36</v>
      </c>
      <c r="B73" s="6">
        <v>0</v>
      </c>
      <c r="C73" s="6">
        <v>0</v>
      </c>
      <c r="D73" s="6">
        <v>0</v>
      </c>
      <c r="E73" s="6">
        <v>0</v>
      </c>
      <c r="F73" s="6">
        <v>0</v>
      </c>
      <c r="H73" s="9"/>
    </row>
    <row r="74" spans="1:8" s="4" customFormat="1" ht="15">
      <c r="A74" s="8" t="s">
        <v>37</v>
      </c>
      <c r="B74" s="6">
        <v>2172.98</v>
      </c>
      <c r="C74" s="6">
        <v>1359.33</v>
      </c>
      <c r="D74" s="6">
        <v>45977.17</v>
      </c>
      <c r="E74" s="6">
        <v>214.23</v>
      </c>
      <c r="F74" s="6">
        <v>0</v>
      </c>
      <c r="H74" s="9"/>
    </row>
    <row r="75" spans="1:8" s="4" customFormat="1" ht="15">
      <c r="A75" s="8" t="s">
        <v>38</v>
      </c>
      <c r="B75" s="6">
        <v>0</v>
      </c>
      <c r="C75" s="6">
        <v>0</v>
      </c>
      <c r="D75" s="6">
        <v>0</v>
      </c>
      <c r="E75" s="6">
        <v>0</v>
      </c>
      <c r="F75" s="6">
        <v>0</v>
      </c>
      <c r="H75" s="9"/>
    </row>
    <row r="76" spans="1:8" s="4" customFormat="1" ht="15">
      <c r="A76" s="8" t="s">
        <v>39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H76" s="9"/>
    </row>
    <row r="77" spans="1:8" s="4" customFormat="1" ht="15">
      <c r="A77" s="8" t="s">
        <v>40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H77" s="9"/>
    </row>
    <row r="78" spans="1:8" s="4" customFormat="1" ht="15">
      <c r="A78" s="8" t="s">
        <v>42</v>
      </c>
      <c r="B78" s="54">
        <f>SUM(B72:B77)</f>
        <v>2172.98</v>
      </c>
      <c r="C78" s="54">
        <f>SUM(C72:C77)</f>
        <v>1359.33</v>
      </c>
      <c r="D78" s="54">
        <f>SUM(D72:D77)</f>
        <v>45977.17</v>
      </c>
      <c r="E78" s="54">
        <f>SUM(E72:E77)</f>
        <v>214.23</v>
      </c>
      <c r="F78" s="54">
        <f>SUM(F72:F77)</f>
        <v>0</v>
      </c>
      <c r="H78" s="9"/>
    </row>
    <row r="79" spans="1:8" s="4" customFormat="1" ht="15">
      <c r="A79" s="8"/>
      <c r="B79" s="54"/>
      <c r="C79" s="54"/>
      <c r="D79" s="54"/>
      <c r="E79" s="54"/>
      <c r="F79" s="54"/>
      <c r="H79" s="9"/>
    </row>
    <row r="80" spans="1:8" s="4" customFormat="1" ht="15">
      <c r="A80" s="7" t="s">
        <v>49</v>
      </c>
      <c r="B80" s="6"/>
      <c r="C80" s="6"/>
      <c r="D80" s="6"/>
      <c r="E80" s="6"/>
      <c r="F80" s="6"/>
      <c r="H80" s="9"/>
    </row>
    <row r="81" spans="1:8" s="4" customFormat="1" ht="15">
      <c r="A81" s="8" t="s">
        <v>35</v>
      </c>
      <c r="B81" s="6">
        <v>0</v>
      </c>
      <c r="C81" s="6">
        <v>0</v>
      </c>
      <c r="D81" s="6">
        <v>0</v>
      </c>
      <c r="E81" s="6">
        <v>0</v>
      </c>
      <c r="F81" s="6">
        <v>0</v>
      </c>
      <c r="H81" s="9"/>
    </row>
    <row r="82" spans="1:8" s="4" customFormat="1" ht="15">
      <c r="A82" s="8" t="s">
        <v>36</v>
      </c>
      <c r="B82" s="6">
        <v>0</v>
      </c>
      <c r="C82" s="6">
        <v>0</v>
      </c>
      <c r="D82" s="6">
        <v>0</v>
      </c>
      <c r="E82" s="6">
        <v>0</v>
      </c>
      <c r="F82" s="6">
        <v>0</v>
      </c>
      <c r="H82" s="9"/>
    </row>
    <row r="83" spans="1:8" s="4" customFormat="1" ht="15">
      <c r="A83" s="8" t="s">
        <v>37</v>
      </c>
      <c r="B83" s="6">
        <v>0</v>
      </c>
      <c r="C83" s="6">
        <v>0</v>
      </c>
      <c r="D83" s="6">
        <v>58424</v>
      </c>
      <c r="E83" s="6">
        <v>0</v>
      </c>
      <c r="F83" s="6">
        <v>0</v>
      </c>
      <c r="H83" s="9"/>
    </row>
    <row r="84" spans="1:8" s="4" customFormat="1" ht="15">
      <c r="A84" s="8" t="s">
        <v>38</v>
      </c>
      <c r="B84" s="6">
        <v>0</v>
      </c>
      <c r="C84" s="6">
        <v>0</v>
      </c>
      <c r="D84" s="6">
        <v>3102</v>
      </c>
      <c r="E84" s="6">
        <v>0</v>
      </c>
      <c r="F84" s="6">
        <v>0</v>
      </c>
      <c r="H84" s="9"/>
    </row>
    <row r="85" spans="1:8" s="4" customFormat="1" ht="15">
      <c r="A85" s="8" t="s">
        <v>39</v>
      </c>
      <c r="B85" s="6">
        <v>0</v>
      </c>
      <c r="C85" s="6">
        <v>0</v>
      </c>
      <c r="D85" s="6">
        <v>0</v>
      </c>
      <c r="E85" s="6">
        <v>0</v>
      </c>
      <c r="F85" s="6">
        <v>0</v>
      </c>
      <c r="H85" s="9"/>
    </row>
    <row r="86" spans="1:8" s="4" customFormat="1" ht="15">
      <c r="A86" s="8" t="s">
        <v>40</v>
      </c>
      <c r="B86" s="54">
        <v>0</v>
      </c>
      <c r="C86" s="54">
        <v>14741663</v>
      </c>
      <c r="D86" s="54">
        <f>6132305+33613.05</f>
        <v>6165918.0499999998</v>
      </c>
      <c r="E86" s="54">
        <v>0</v>
      </c>
      <c r="F86" s="54">
        <v>0</v>
      </c>
      <c r="H86" s="9"/>
    </row>
    <row r="87" spans="1:8" s="4" customFormat="1" ht="15">
      <c r="A87" s="8" t="s">
        <v>42</v>
      </c>
      <c r="B87" s="54">
        <f>SUM(B81:B86)</f>
        <v>0</v>
      </c>
      <c r="C87" s="54">
        <f>SUM(C81:C86)</f>
        <v>14741663</v>
      </c>
      <c r="D87" s="54">
        <f>SUM(D81:D86)</f>
        <v>6227444.0499999998</v>
      </c>
      <c r="E87" s="54">
        <f>SUM(E81:E86)</f>
        <v>0</v>
      </c>
      <c r="F87" s="54">
        <f>SUM(F81:F86)</f>
        <v>0</v>
      </c>
      <c r="H87" s="9"/>
    </row>
    <row r="88" spans="1:8" s="4" customFormat="1" ht="15">
      <c r="A88" s="7"/>
      <c r="B88" s="54"/>
      <c r="C88" s="54"/>
      <c r="D88" s="54"/>
      <c r="E88" s="54"/>
      <c r="F88" s="54"/>
      <c r="H88" s="9"/>
    </row>
    <row r="89" spans="1:8" s="4" customFormat="1" ht="15">
      <c r="A89" s="7" t="s">
        <v>50</v>
      </c>
      <c r="B89" s="6"/>
      <c r="C89" s="6"/>
      <c r="D89" s="6"/>
      <c r="E89" s="6"/>
      <c r="F89" s="6"/>
      <c r="H89" s="9"/>
    </row>
    <row r="90" spans="1:8" s="4" customFormat="1" ht="15">
      <c r="A90" s="8" t="s">
        <v>35</v>
      </c>
      <c r="B90" s="6">
        <v>0</v>
      </c>
      <c r="C90" s="6">
        <v>0</v>
      </c>
      <c r="D90" s="6">
        <v>0</v>
      </c>
      <c r="E90" s="6">
        <v>0</v>
      </c>
      <c r="F90" s="6">
        <v>0</v>
      </c>
      <c r="H90" s="9"/>
    </row>
    <row r="91" spans="1:8" s="4" customFormat="1" ht="15">
      <c r="A91" s="8" t="s">
        <v>36</v>
      </c>
      <c r="B91" s="6">
        <v>0</v>
      </c>
      <c r="C91" s="6">
        <v>0</v>
      </c>
      <c r="D91" s="6">
        <v>0</v>
      </c>
      <c r="E91" s="6">
        <v>0</v>
      </c>
      <c r="F91" s="6">
        <v>0</v>
      </c>
      <c r="H91" s="9"/>
    </row>
    <row r="92" spans="1:8" s="4" customFormat="1" ht="15">
      <c r="A92" s="8" t="s">
        <v>37</v>
      </c>
      <c r="B92" s="6">
        <v>0</v>
      </c>
      <c r="C92" s="6">
        <v>0</v>
      </c>
      <c r="D92" s="6">
        <v>0</v>
      </c>
      <c r="E92" s="6">
        <v>0</v>
      </c>
      <c r="F92" s="6">
        <v>0</v>
      </c>
      <c r="H92" s="9"/>
    </row>
    <row r="93" spans="1:8" s="4" customFormat="1" ht="15">
      <c r="A93" s="8" t="s">
        <v>38</v>
      </c>
      <c r="B93" s="6">
        <v>0</v>
      </c>
      <c r="C93" s="6">
        <v>0</v>
      </c>
      <c r="D93" s="6">
        <v>0</v>
      </c>
      <c r="E93" s="6">
        <v>0</v>
      </c>
      <c r="F93" s="6">
        <v>0</v>
      </c>
      <c r="H93" s="9"/>
    </row>
    <row r="94" spans="1:8" s="4" customFormat="1" ht="15">
      <c r="A94" s="8" t="s">
        <v>39</v>
      </c>
      <c r="B94" s="6">
        <v>0</v>
      </c>
      <c r="C94" s="6">
        <v>0</v>
      </c>
      <c r="D94" s="6">
        <v>0</v>
      </c>
      <c r="E94" s="6">
        <v>0</v>
      </c>
      <c r="F94" s="6">
        <v>0</v>
      </c>
      <c r="H94" s="9"/>
    </row>
    <row r="95" spans="1:8" s="4" customFormat="1" ht="15">
      <c r="A95" s="8" t="s">
        <v>40</v>
      </c>
      <c r="B95" s="54">
        <v>0</v>
      </c>
      <c r="C95" s="54">
        <v>0</v>
      </c>
      <c r="D95" s="54">
        <v>0</v>
      </c>
      <c r="E95" s="54">
        <v>0</v>
      </c>
      <c r="F95" s="54">
        <v>0</v>
      </c>
      <c r="H95" s="9"/>
    </row>
    <row r="96" spans="1:8" s="4" customFormat="1" ht="15">
      <c r="A96" s="8" t="s">
        <v>42</v>
      </c>
      <c r="B96" s="54">
        <f>SUM(B90:B95)</f>
        <v>0</v>
      </c>
      <c r="C96" s="54">
        <f>SUM(C90:C95)</f>
        <v>0</v>
      </c>
      <c r="D96" s="54">
        <f>SUM(D90:D95)</f>
        <v>0</v>
      </c>
      <c r="E96" s="54">
        <f>SUM(E90:E95)</f>
        <v>0</v>
      </c>
      <c r="F96" s="54">
        <f>SUM(F90:F95)</f>
        <v>0</v>
      </c>
      <c r="H96" s="9"/>
    </row>
    <row r="97" spans="1:8" s="4" customFormat="1" ht="15">
      <c r="A97" s="7"/>
      <c r="B97" s="6"/>
      <c r="C97" s="6"/>
      <c r="D97" s="6"/>
      <c r="E97" s="6"/>
      <c r="F97" s="6"/>
      <c r="H97" s="9"/>
    </row>
    <row r="98" spans="1:8" s="4" customFormat="1" ht="15">
      <c r="A98" s="7" t="s">
        <v>51</v>
      </c>
      <c r="B98" s="6"/>
      <c r="C98" s="6"/>
      <c r="D98" s="6"/>
      <c r="E98" s="6"/>
      <c r="F98" s="6"/>
      <c r="H98" s="9"/>
    </row>
    <row r="99" spans="1:8" s="4" customFormat="1" ht="15">
      <c r="A99" s="8" t="s">
        <v>35</v>
      </c>
      <c r="B99" s="6">
        <v>0</v>
      </c>
      <c r="C99" s="6">
        <v>0</v>
      </c>
      <c r="D99" s="6">
        <v>0</v>
      </c>
      <c r="E99" s="6">
        <v>0</v>
      </c>
      <c r="F99" s="6">
        <v>0</v>
      </c>
      <c r="H99" s="9"/>
    </row>
    <row r="100" spans="1:8" s="4" customFormat="1" ht="15">
      <c r="A100" s="8" t="s">
        <v>36</v>
      </c>
      <c r="B100" s="6">
        <v>0</v>
      </c>
      <c r="C100" s="6">
        <v>0</v>
      </c>
      <c r="D100" s="6">
        <v>0</v>
      </c>
      <c r="E100" s="6">
        <v>0</v>
      </c>
      <c r="F100" s="6">
        <v>0</v>
      </c>
      <c r="H100" s="9"/>
    </row>
    <row r="101" spans="1:8" s="4" customFormat="1" ht="15">
      <c r="A101" s="8" t="s">
        <v>37</v>
      </c>
      <c r="B101" s="6">
        <v>1061148.2100000002</v>
      </c>
      <c r="C101" s="6">
        <v>394774.57999999996</v>
      </c>
      <c r="D101" s="6">
        <v>1459639.53</v>
      </c>
      <c r="E101" s="6">
        <v>345770.33</v>
      </c>
      <c r="F101" s="6">
        <v>0</v>
      </c>
      <c r="H101" s="9"/>
    </row>
    <row r="102" spans="1:8" s="4" customFormat="1" ht="15">
      <c r="A102" s="8" t="s">
        <v>38</v>
      </c>
      <c r="B102" s="6">
        <v>0</v>
      </c>
      <c r="C102" s="6">
        <v>0</v>
      </c>
      <c r="D102" s="6">
        <v>0</v>
      </c>
      <c r="E102" s="6">
        <v>0</v>
      </c>
      <c r="F102" s="6">
        <v>0</v>
      </c>
      <c r="H102" s="9"/>
    </row>
    <row r="103" spans="1:8" s="4" customFormat="1" ht="15">
      <c r="A103" s="8" t="s">
        <v>39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H103" s="9"/>
    </row>
    <row r="104" spans="1:8" s="4" customFormat="1" ht="15">
      <c r="A104" s="8" t="s">
        <v>40</v>
      </c>
      <c r="B104" s="54">
        <v>30000</v>
      </c>
      <c r="C104" s="54">
        <v>0</v>
      </c>
      <c r="D104" s="54">
        <v>0</v>
      </c>
      <c r="E104" s="54">
        <v>0</v>
      </c>
      <c r="F104" s="54">
        <v>0</v>
      </c>
      <c r="H104" s="9"/>
    </row>
    <row r="105" spans="1:8" s="4" customFormat="1" ht="15">
      <c r="A105" s="8" t="s">
        <v>42</v>
      </c>
      <c r="B105" s="54">
        <f>SUM(B99:B104)</f>
        <v>1091148.2100000002</v>
      </c>
      <c r="C105" s="54">
        <f>SUM(C99:C104)</f>
        <v>394774.57999999996</v>
      </c>
      <c r="D105" s="54">
        <f>SUM(D99:D104)</f>
        <v>1459639.53</v>
      </c>
      <c r="E105" s="54">
        <f>SUM(E99:E104)</f>
        <v>345770.33</v>
      </c>
      <c r="F105" s="54">
        <f>SUM(F99:F104)</f>
        <v>0</v>
      </c>
      <c r="H105" s="9"/>
    </row>
    <row r="106" spans="1:8" s="4" customFormat="1" ht="15">
      <c r="A106" s="7"/>
      <c r="B106" s="6"/>
      <c r="C106" s="6"/>
      <c r="D106" s="6"/>
      <c r="E106" s="6"/>
      <c r="F106" s="6"/>
      <c r="H106" s="9"/>
    </row>
    <row r="107" spans="1:8" s="4" customFormat="1" ht="15">
      <c r="A107" s="7" t="s">
        <v>52</v>
      </c>
      <c r="B107" s="6"/>
      <c r="C107" s="6"/>
      <c r="D107" s="6"/>
      <c r="E107" s="6"/>
      <c r="F107" s="6"/>
      <c r="H107" s="9"/>
    </row>
    <row r="108" spans="1:8" s="4" customFormat="1" ht="15">
      <c r="A108" s="8" t="s">
        <v>35</v>
      </c>
      <c r="B108" s="6">
        <v>0</v>
      </c>
      <c r="C108" s="6">
        <v>0</v>
      </c>
      <c r="D108" s="6">
        <v>0</v>
      </c>
      <c r="E108" s="6">
        <v>0</v>
      </c>
      <c r="F108" s="6">
        <v>0</v>
      </c>
      <c r="H108" s="9"/>
    </row>
    <row r="109" spans="1:8" s="4" customFormat="1" ht="15">
      <c r="A109" s="8" t="s">
        <v>36</v>
      </c>
      <c r="B109" s="6">
        <v>0</v>
      </c>
      <c r="C109" s="6">
        <v>0</v>
      </c>
      <c r="D109" s="6">
        <v>0</v>
      </c>
      <c r="E109" s="6">
        <v>0</v>
      </c>
      <c r="F109" s="6">
        <v>0</v>
      </c>
      <c r="H109" s="9"/>
    </row>
    <row r="110" spans="1:8" s="4" customFormat="1" ht="15">
      <c r="A110" s="8" t="s">
        <v>37</v>
      </c>
      <c r="B110" s="6">
        <v>0</v>
      </c>
      <c r="C110" s="6">
        <v>0</v>
      </c>
      <c r="D110" s="6">
        <v>0</v>
      </c>
      <c r="E110" s="6">
        <v>0</v>
      </c>
      <c r="F110" s="6">
        <v>0</v>
      </c>
      <c r="H110" s="9"/>
    </row>
    <row r="111" spans="1:8" s="4" customFormat="1" ht="15">
      <c r="A111" s="8" t="s">
        <v>38</v>
      </c>
      <c r="B111" s="6">
        <v>0</v>
      </c>
      <c r="C111" s="6">
        <v>0</v>
      </c>
      <c r="D111" s="6">
        <v>0</v>
      </c>
      <c r="E111" s="6">
        <v>0</v>
      </c>
      <c r="F111" s="6">
        <v>0</v>
      </c>
      <c r="H111" s="9"/>
    </row>
    <row r="112" spans="1:8" s="4" customFormat="1" ht="15">
      <c r="A112" s="8" t="s">
        <v>39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H112" s="9"/>
    </row>
    <row r="113" spans="1:8" s="4" customFormat="1" ht="15">
      <c r="A113" s="8" t="s">
        <v>40</v>
      </c>
      <c r="B113" s="54">
        <v>0</v>
      </c>
      <c r="C113" s="54">
        <v>0</v>
      </c>
      <c r="D113" s="54">
        <v>0</v>
      </c>
      <c r="E113" s="54">
        <v>0</v>
      </c>
      <c r="F113" s="54">
        <v>0</v>
      </c>
      <c r="H113" s="9"/>
    </row>
    <row r="114" spans="1:8" s="4" customFormat="1" ht="15">
      <c r="A114" s="8" t="s">
        <v>42</v>
      </c>
      <c r="B114" s="54">
        <f>SUM(B108:B113)</f>
        <v>0</v>
      </c>
      <c r="C114" s="54">
        <f>SUM(C108:C113)</f>
        <v>0</v>
      </c>
      <c r="D114" s="54">
        <f>SUM(D108:D113)</f>
        <v>0</v>
      </c>
      <c r="E114" s="54">
        <f>SUM(E108:E113)</f>
        <v>0</v>
      </c>
      <c r="F114" s="54">
        <f>SUM(F108:F113)</f>
        <v>0</v>
      </c>
      <c r="H114" s="9"/>
    </row>
    <row r="115" spans="1:8" s="4" customFormat="1" ht="15">
      <c r="A115" s="7"/>
      <c r="B115" s="6"/>
      <c r="C115" s="6"/>
      <c r="D115" s="6"/>
      <c r="E115" s="6"/>
      <c r="F115" s="6"/>
      <c r="H115" s="9"/>
    </row>
    <row r="116" spans="1:8" s="4" customFormat="1" ht="15">
      <c r="A116" s="7" t="s">
        <v>53</v>
      </c>
      <c r="B116" s="6"/>
      <c r="C116" s="6"/>
      <c r="D116" s="6"/>
      <c r="E116" s="6"/>
      <c r="F116" s="6"/>
      <c r="H116" s="9"/>
    </row>
    <row r="117" spans="1:8" s="4" customFormat="1" ht="15">
      <c r="A117" s="8" t="s">
        <v>35</v>
      </c>
      <c r="B117" s="6">
        <v>0</v>
      </c>
      <c r="C117" s="6">
        <v>0</v>
      </c>
      <c r="D117" s="6">
        <v>0</v>
      </c>
      <c r="E117" s="6">
        <v>0</v>
      </c>
      <c r="F117" s="6">
        <v>0</v>
      </c>
      <c r="H117" s="9"/>
    </row>
    <row r="118" spans="1:8" s="4" customFormat="1" ht="15">
      <c r="A118" s="8" t="s">
        <v>36</v>
      </c>
      <c r="B118" s="6">
        <v>0</v>
      </c>
      <c r="C118" s="6">
        <v>0</v>
      </c>
      <c r="D118" s="6">
        <v>0</v>
      </c>
      <c r="E118" s="6">
        <v>0</v>
      </c>
      <c r="F118" s="6">
        <v>0</v>
      </c>
      <c r="H118" s="9"/>
    </row>
    <row r="119" spans="1:8" s="4" customFormat="1" ht="15">
      <c r="A119" s="8" t="s">
        <v>37</v>
      </c>
      <c r="B119" s="6">
        <v>0</v>
      </c>
      <c r="C119" s="6">
        <v>1935.59</v>
      </c>
      <c r="D119" s="6">
        <v>0</v>
      </c>
      <c r="E119" s="6">
        <v>0</v>
      </c>
      <c r="F119" s="6">
        <v>0</v>
      </c>
      <c r="H119" s="9"/>
    </row>
    <row r="120" spans="1:8" s="4" customFormat="1" ht="15">
      <c r="A120" s="8" t="s">
        <v>38</v>
      </c>
      <c r="B120" s="6">
        <v>0</v>
      </c>
      <c r="C120" s="6">
        <v>0</v>
      </c>
      <c r="D120" s="6">
        <v>0</v>
      </c>
      <c r="E120" s="6">
        <v>0</v>
      </c>
      <c r="F120" s="6">
        <v>0</v>
      </c>
      <c r="H120" s="9"/>
    </row>
    <row r="121" spans="1:8" s="4" customFormat="1" ht="15">
      <c r="A121" s="8" t="s">
        <v>39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H121" s="9"/>
    </row>
    <row r="122" spans="1:8" s="4" customFormat="1" ht="15">
      <c r="A122" s="8" t="s">
        <v>40</v>
      </c>
      <c r="B122" s="54">
        <v>0</v>
      </c>
      <c r="C122" s="54">
        <v>0</v>
      </c>
      <c r="D122" s="54">
        <v>0</v>
      </c>
      <c r="E122" s="54">
        <v>0</v>
      </c>
      <c r="F122" s="54">
        <v>0</v>
      </c>
      <c r="H122" s="9"/>
    </row>
    <row r="123" spans="1:8" s="4" customFormat="1" ht="15">
      <c r="A123" s="8" t="s">
        <v>42</v>
      </c>
      <c r="B123" s="54">
        <f>SUM(B117:B122)</f>
        <v>0</v>
      </c>
      <c r="C123" s="54">
        <f>SUM(C117:C122)</f>
        <v>1935.59</v>
      </c>
      <c r="D123" s="54">
        <f>SUM(D117:D122)</f>
        <v>0</v>
      </c>
      <c r="E123" s="54">
        <f>SUM(E117:E122)</f>
        <v>0</v>
      </c>
      <c r="F123" s="54">
        <f>SUM(F117:F122)</f>
        <v>0</v>
      </c>
      <c r="H123" s="9"/>
    </row>
    <row r="124" spans="1:8" s="4" customFormat="1" ht="15">
      <c r="A124" s="7"/>
      <c r="B124" s="54"/>
      <c r="C124" s="54"/>
      <c r="D124" s="54"/>
      <c r="E124" s="54"/>
      <c r="F124" s="54"/>
      <c r="H124" s="9"/>
    </row>
    <row r="125" spans="1:8" s="4" customFormat="1" ht="15">
      <c r="A125" s="7" t="s">
        <v>55</v>
      </c>
      <c r="B125" s="6"/>
      <c r="C125" s="6"/>
      <c r="D125" s="6"/>
      <c r="E125" s="6"/>
      <c r="F125" s="6"/>
      <c r="H125" s="9"/>
    </row>
    <row r="126" spans="1:8" s="4" customFormat="1" ht="15">
      <c r="A126" s="8" t="s">
        <v>35</v>
      </c>
      <c r="B126" s="6">
        <v>0</v>
      </c>
      <c r="C126" s="6">
        <v>0</v>
      </c>
      <c r="D126" s="6">
        <v>0</v>
      </c>
      <c r="E126" s="6">
        <v>0</v>
      </c>
      <c r="F126" s="6">
        <v>0</v>
      </c>
      <c r="H126" s="9"/>
    </row>
    <row r="127" spans="1:8" s="4" customFormat="1" ht="15">
      <c r="A127" s="8" t="s">
        <v>36</v>
      </c>
      <c r="B127" s="6">
        <v>0</v>
      </c>
      <c r="C127" s="6">
        <v>0</v>
      </c>
      <c r="D127" s="6">
        <v>0</v>
      </c>
      <c r="E127" s="6">
        <v>0</v>
      </c>
      <c r="F127" s="6">
        <v>0</v>
      </c>
      <c r="H127" s="9"/>
    </row>
    <row r="128" spans="1:8" s="4" customFormat="1" ht="15">
      <c r="A128" s="8" t="s">
        <v>37</v>
      </c>
      <c r="B128" s="6">
        <v>0</v>
      </c>
      <c r="C128" s="6">
        <v>0</v>
      </c>
      <c r="D128" s="6">
        <v>9550.2000000000007</v>
      </c>
      <c r="E128" s="6">
        <v>145.24</v>
      </c>
      <c r="F128" s="6">
        <v>0</v>
      </c>
      <c r="H128" s="9"/>
    </row>
    <row r="129" spans="1:8" s="4" customFormat="1" ht="15">
      <c r="A129" s="8" t="s">
        <v>38</v>
      </c>
      <c r="B129" s="6">
        <v>0</v>
      </c>
      <c r="C129" s="6">
        <v>0</v>
      </c>
      <c r="D129" s="6">
        <v>0</v>
      </c>
      <c r="E129" s="6">
        <v>0</v>
      </c>
      <c r="F129" s="6">
        <v>0</v>
      </c>
      <c r="H129" s="9"/>
    </row>
    <row r="130" spans="1:8" s="4" customFormat="1" ht="15">
      <c r="A130" s="8" t="s">
        <v>39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H130" s="9"/>
    </row>
    <row r="131" spans="1:8" s="4" customFormat="1" ht="15">
      <c r="A131" s="8" t="s">
        <v>40</v>
      </c>
      <c r="B131" s="54">
        <v>0</v>
      </c>
      <c r="C131" s="54">
        <v>0</v>
      </c>
      <c r="D131" s="54">
        <v>0</v>
      </c>
      <c r="E131" s="54">
        <v>0</v>
      </c>
      <c r="F131" s="54">
        <v>0</v>
      </c>
      <c r="H131" s="9"/>
    </row>
    <row r="132" spans="1:8" s="4" customFormat="1" ht="15">
      <c r="A132" s="8" t="s">
        <v>42</v>
      </c>
      <c r="B132" s="54">
        <f>SUM(B126:B131)</f>
        <v>0</v>
      </c>
      <c r="C132" s="54">
        <f>SUM(C126:C131)</f>
        <v>0</v>
      </c>
      <c r="D132" s="54">
        <f>SUM(D126:D131)</f>
        <v>9550.2000000000007</v>
      </c>
      <c r="E132" s="54">
        <f>SUM(E126:E131)</f>
        <v>145.24</v>
      </c>
      <c r="F132" s="54">
        <f>SUM(F126:F131)</f>
        <v>0</v>
      </c>
      <c r="H132" s="9"/>
    </row>
    <row r="133" spans="1:8" s="4" customFormat="1" ht="15">
      <c r="A133" s="7"/>
      <c r="B133" s="6"/>
      <c r="C133" s="6"/>
      <c r="D133" s="6"/>
      <c r="E133" s="6"/>
      <c r="F133" s="6"/>
      <c r="H133" s="9"/>
    </row>
    <row r="134" spans="1:8" s="4" customFormat="1" ht="15">
      <c r="A134" s="7" t="s">
        <v>56</v>
      </c>
      <c r="B134" s="6"/>
      <c r="C134" s="6"/>
      <c r="D134" s="6"/>
      <c r="E134" s="6"/>
      <c r="F134" s="6"/>
      <c r="H134" s="9"/>
    </row>
    <row r="135" spans="1:8" s="4" customFormat="1" ht="15">
      <c r="A135" s="8" t="s">
        <v>35</v>
      </c>
      <c r="B135" s="6">
        <v>0</v>
      </c>
      <c r="C135" s="6">
        <v>0</v>
      </c>
      <c r="D135" s="6">
        <v>0</v>
      </c>
      <c r="E135" s="6">
        <v>0</v>
      </c>
      <c r="F135" s="6">
        <v>0</v>
      </c>
      <c r="H135" s="9"/>
    </row>
    <row r="136" spans="1:8" s="4" customFormat="1" ht="15">
      <c r="A136" s="8" t="s">
        <v>36</v>
      </c>
      <c r="B136" s="6">
        <v>0</v>
      </c>
      <c r="C136" s="6">
        <v>0</v>
      </c>
      <c r="D136" s="6">
        <v>0</v>
      </c>
      <c r="E136" s="6">
        <v>0</v>
      </c>
      <c r="F136" s="6">
        <v>0</v>
      </c>
      <c r="H136" s="9"/>
    </row>
    <row r="137" spans="1:8" s="4" customFormat="1" ht="15">
      <c r="A137" s="8" t="s">
        <v>37</v>
      </c>
      <c r="B137" s="6">
        <v>1889</v>
      </c>
      <c r="C137" s="6">
        <v>0</v>
      </c>
      <c r="D137" s="6">
        <v>0</v>
      </c>
      <c r="E137" s="6">
        <v>0</v>
      </c>
      <c r="F137" s="6">
        <v>0</v>
      </c>
      <c r="H137" s="9"/>
    </row>
    <row r="138" spans="1:8" s="4" customFormat="1" ht="15">
      <c r="A138" s="8" t="s">
        <v>38</v>
      </c>
      <c r="B138" s="6">
        <v>0</v>
      </c>
      <c r="C138" s="6">
        <v>0</v>
      </c>
      <c r="D138" s="6">
        <v>0</v>
      </c>
      <c r="E138" s="6">
        <v>0</v>
      </c>
      <c r="F138" s="6">
        <v>0</v>
      </c>
      <c r="H138" s="9"/>
    </row>
    <row r="139" spans="1:8" s="4" customFormat="1" ht="15">
      <c r="A139" s="8" t="s">
        <v>39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H139" s="9"/>
    </row>
    <row r="140" spans="1:8" s="4" customFormat="1" ht="15">
      <c r="A140" s="8" t="s">
        <v>40</v>
      </c>
      <c r="B140" s="54">
        <v>0</v>
      </c>
      <c r="C140" s="54">
        <v>0</v>
      </c>
      <c r="D140" s="54">
        <v>0</v>
      </c>
      <c r="E140" s="54">
        <v>0</v>
      </c>
      <c r="F140" s="54">
        <v>0</v>
      </c>
      <c r="H140" s="9"/>
    </row>
    <row r="141" spans="1:8" s="4" customFormat="1" ht="15">
      <c r="A141" s="8" t="s">
        <v>42</v>
      </c>
      <c r="B141" s="54">
        <f>SUM(B135:B140)</f>
        <v>1889</v>
      </c>
      <c r="C141" s="54">
        <f>SUM(C135:C140)</f>
        <v>0</v>
      </c>
      <c r="D141" s="54">
        <f>SUM(D135:D140)</f>
        <v>0</v>
      </c>
      <c r="E141" s="54">
        <f>SUM(E135:E140)</f>
        <v>0</v>
      </c>
      <c r="F141" s="54">
        <f>SUM(F135:F140)</f>
        <v>0</v>
      </c>
      <c r="H141" s="9"/>
    </row>
    <row r="142" spans="1:8" s="4" customFormat="1" ht="15">
      <c r="A142" s="7"/>
      <c r="B142" s="6"/>
      <c r="C142" s="6"/>
      <c r="D142" s="6"/>
      <c r="E142" s="6"/>
      <c r="F142" s="6"/>
      <c r="H142" s="9"/>
    </row>
    <row r="143" spans="1:8" s="4" customFormat="1" ht="15">
      <c r="A143" s="7" t="s">
        <v>57</v>
      </c>
      <c r="B143" s="6"/>
      <c r="C143" s="6"/>
      <c r="D143" s="6"/>
      <c r="E143" s="6"/>
      <c r="F143" s="6"/>
      <c r="H143" s="9"/>
    </row>
    <row r="144" spans="1:8" s="4" customFormat="1" ht="15">
      <c r="A144" s="8" t="s">
        <v>35</v>
      </c>
      <c r="B144" s="6">
        <v>0</v>
      </c>
      <c r="C144" s="6">
        <v>0</v>
      </c>
      <c r="D144" s="6">
        <v>0</v>
      </c>
      <c r="E144" s="6">
        <v>0</v>
      </c>
      <c r="F144" s="6">
        <v>0</v>
      </c>
      <c r="H144" s="9"/>
    </row>
    <row r="145" spans="1:8" s="4" customFormat="1" ht="15">
      <c r="A145" s="8" t="s">
        <v>36</v>
      </c>
      <c r="B145" s="6">
        <v>0</v>
      </c>
      <c r="C145" s="6">
        <v>0</v>
      </c>
      <c r="D145" s="6">
        <v>0</v>
      </c>
      <c r="E145" s="6">
        <v>0</v>
      </c>
      <c r="F145" s="6">
        <v>0</v>
      </c>
      <c r="H145" s="9"/>
    </row>
    <row r="146" spans="1:8" s="4" customFormat="1" ht="15">
      <c r="A146" s="8" t="s">
        <v>37</v>
      </c>
      <c r="B146" s="6">
        <v>0</v>
      </c>
      <c r="C146" s="6">
        <v>0</v>
      </c>
      <c r="D146" s="6">
        <v>0</v>
      </c>
      <c r="E146" s="6">
        <v>0</v>
      </c>
      <c r="F146" s="6">
        <v>0</v>
      </c>
      <c r="H146" s="9"/>
    </row>
    <row r="147" spans="1:8" s="4" customFormat="1" ht="15">
      <c r="A147" s="8" t="s">
        <v>38</v>
      </c>
      <c r="B147" s="6">
        <v>0</v>
      </c>
      <c r="C147" s="6">
        <v>0</v>
      </c>
      <c r="D147" s="6">
        <v>0</v>
      </c>
      <c r="E147" s="6">
        <v>0</v>
      </c>
      <c r="F147" s="6">
        <v>0</v>
      </c>
      <c r="H147" s="9"/>
    </row>
    <row r="148" spans="1:8" s="4" customFormat="1" ht="15">
      <c r="A148" s="8" t="s">
        <v>39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H148" s="9"/>
    </row>
    <row r="149" spans="1:8" s="4" customFormat="1" ht="15">
      <c r="A149" s="8" t="s">
        <v>40</v>
      </c>
      <c r="B149" s="54">
        <v>0</v>
      </c>
      <c r="C149" s="54">
        <v>0</v>
      </c>
      <c r="D149" s="54">
        <v>0</v>
      </c>
      <c r="E149" s="54">
        <v>0</v>
      </c>
      <c r="F149" s="54">
        <v>0</v>
      </c>
      <c r="H149" s="9"/>
    </row>
    <row r="150" spans="1:8" s="4" customFormat="1" ht="15">
      <c r="A150" s="8" t="s">
        <v>42</v>
      </c>
      <c r="B150" s="54">
        <f>SUM(B144:B149)</f>
        <v>0</v>
      </c>
      <c r="C150" s="54">
        <f>SUM(C144:C149)</f>
        <v>0</v>
      </c>
      <c r="D150" s="54">
        <f>SUM(D144:D149)</f>
        <v>0</v>
      </c>
      <c r="E150" s="54">
        <f>SUM(E144:E149)</f>
        <v>0</v>
      </c>
      <c r="F150" s="54">
        <f>SUM(F144:F149)</f>
        <v>0</v>
      </c>
      <c r="H150" s="9"/>
    </row>
    <row r="151" spans="1:8" s="4" customFormat="1" ht="15">
      <c r="A151" s="7"/>
      <c r="B151" s="6"/>
      <c r="C151" s="6"/>
      <c r="D151" s="6"/>
      <c r="E151" s="6"/>
      <c r="F151" s="6"/>
      <c r="H151" s="9"/>
    </row>
    <row r="152" spans="1:8" s="4" customFormat="1" ht="15">
      <c r="A152" s="7" t="s">
        <v>59</v>
      </c>
      <c r="B152" s="6"/>
      <c r="C152" s="6"/>
      <c r="D152" s="6"/>
      <c r="E152" s="6"/>
      <c r="F152" s="6"/>
      <c r="H152" s="9"/>
    </row>
    <row r="153" spans="1:8" s="4" customFormat="1" ht="15">
      <c r="A153" s="8" t="s">
        <v>35</v>
      </c>
      <c r="B153" s="6">
        <v>0</v>
      </c>
      <c r="C153" s="6">
        <v>0</v>
      </c>
      <c r="D153" s="6">
        <v>0</v>
      </c>
      <c r="E153" s="6">
        <v>0</v>
      </c>
      <c r="F153" s="6">
        <v>0</v>
      </c>
      <c r="H153" s="9"/>
    </row>
    <row r="154" spans="1:8" s="4" customFormat="1" ht="15">
      <c r="A154" s="8" t="s">
        <v>36</v>
      </c>
      <c r="B154" s="6">
        <v>0</v>
      </c>
      <c r="C154" s="6">
        <v>0</v>
      </c>
      <c r="D154" s="6">
        <v>0</v>
      </c>
      <c r="E154" s="6">
        <v>0</v>
      </c>
      <c r="F154" s="6">
        <v>0</v>
      </c>
      <c r="H154" s="9"/>
    </row>
    <row r="155" spans="1:8" s="4" customFormat="1" ht="15">
      <c r="A155" s="8" t="s">
        <v>37</v>
      </c>
      <c r="B155" s="6">
        <v>0</v>
      </c>
      <c r="C155" s="6">
        <v>0</v>
      </c>
      <c r="D155" s="6">
        <v>0</v>
      </c>
      <c r="E155" s="6">
        <v>0</v>
      </c>
      <c r="F155" s="6">
        <v>0</v>
      </c>
      <c r="H155" s="9"/>
    </row>
    <row r="156" spans="1:8" s="4" customFormat="1" ht="15">
      <c r="A156" s="8" t="s">
        <v>38</v>
      </c>
      <c r="B156" s="6"/>
      <c r="C156" s="6">
        <v>0</v>
      </c>
      <c r="D156" s="6">
        <v>0</v>
      </c>
      <c r="E156" s="6">
        <v>0</v>
      </c>
      <c r="F156" s="6">
        <v>0</v>
      </c>
      <c r="H156" s="9"/>
    </row>
    <row r="157" spans="1:8" s="4" customFormat="1" ht="15">
      <c r="A157" s="8" t="s">
        <v>39</v>
      </c>
      <c r="B157" s="6">
        <v>709488.10000000009</v>
      </c>
      <c r="C157" s="6">
        <v>736199.65</v>
      </c>
      <c r="D157" s="6">
        <v>758085</v>
      </c>
      <c r="E157" s="6">
        <v>0</v>
      </c>
      <c r="F157" s="6">
        <v>0</v>
      </c>
      <c r="H157" s="9"/>
    </row>
    <row r="158" spans="1:8" s="4" customFormat="1" ht="15">
      <c r="A158" s="8" t="s">
        <v>40</v>
      </c>
      <c r="B158" s="54">
        <v>0</v>
      </c>
      <c r="C158" s="54">
        <v>0</v>
      </c>
      <c r="D158" s="54">
        <v>0</v>
      </c>
      <c r="E158" s="54">
        <v>0</v>
      </c>
      <c r="F158" s="54">
        <v>0</v>
      </c>
      <c r="H158" s="9"/>
    </row>
    <row r="159" spans="1:8" s="4" customFormat="1" ht="15">
      <c r="A159" s="8" t="s">
        <v>42</v>
      </c>
      <c r="B159" s="54">
        <f>SUM(B153:B158)</f>
        <v>709488.10000000009</v>
      </c>
      <c r="C159" s="54">
        <f>SUM(C153:C158)</f>
        <v>736199.65</v>
      </c>
      <c r="D159" s="54">
        <f>SUM(D153:D158)</f>
        <v>758085</v>
      </c>
      <c r="E159" s="54">
        <f>SUM(E153:E158)</f>
        <v>0</v>
      </c>
      <c r="F159" s="54">
        <f>SUM(F153:F158)</f>
        <v>0</v>
      </c>
      <c r="H159" s="9"/>
    </row>
    <row r="160" spans="1:8" s="4" customFormat="1" ht="15">
      <c r="A160" s="7"/>
      <c r="B160" s="6"/>
      <c r="C160" s="6"/>
      <c r="D160" s="6"/>
      <c r="E160" s="6"/>
      <c r="F160" s="6"/>
      <c r="H160" s="9"/>
    </row>
    <row r="161" spans="1:8" s="4" customFormat="1" ht="15">
      <c r="A161" s="7" t="s">
        <v>60</v>
      </c>
      <c r="B161" s="6"/>
      <c r="C161" s="6"/>
      <c r="D161" s="6"/>
      <c r="E161" s="6"/>
      <c r="F161" s="6"/>
      <c r="H161" s="9"/>
    </row>
    <row r="162" spans="1:8" s="4" customFormat="1" ht="15">
      <c r="A162" s="8" t="s">
        <v>35</v>
      </c>
      <c r="B162" s="6">
        <v>455825.35000000009</v>
      </c>
      <c r="C162" s="6">
        <v>468684.66000000003</v>
      </c>
      <c r="D162" s="6">
        <v>488072.28</v>
      </c>
      <c r="E162" s="6">
        <v>731155.10999999987</v>
      </c>
      <c r="F162" s="6">
        <v>1154046</v>
      </c>
      <c r="H162" s="9"/>
    </row>
    <row r="163" spans="1:8" s="4" customFormat="1" ht="15">
      <c r="A163" s="8" t="s">
        <v>36</v>
      </c>
      <c r="B163" s="6">
        <v>0</v>
      </c>
      <c r="C163" s="6">
        <v>0</v>
      </c>
      <c r="D163" s="6">
        <v>0</v>
      </c>
      <c r="E163" s="6">
        <v>0</v>
      </c>
      <c r="F163" s="6">
        <v>0</v>
      </c>
      <c r="H163" s="9"/>
    </row>
    <row r="164" spans="1:8" s="4" customFormat="1" ht="15">
      <c r="A164" s="8" t="s">
        <v>37</v>
      </c>
      <c r="B164" s="6">
        <v>8484601.6899999995</v>
      </c>
      <c r="C164" s="6">
        <v>3511986.44</v>
      </c>
      <c r="D164" s="6">
        <v>13189502.08</v>
      </c>
      <c r="E164" s="6">
        <v>50498313.109999999</v>
      </c>
      <c r="F164" s="6">
        <v>38336828.100000001</v>
      </c>
      <c r="H164" s="9"/>
    </row>
    <row r="165" spans="1:8" s="4" customFormat="1" ht="15">
      <c r="A165" s="8" t="s">
        <v>38</v>
      </c>
      <c r="B165" s="6">
        <v>27520.93</v>
      </c>
      <c r="C165" s="6">
        <v>17065.12</v>
      </c>
      <c r="D165" s="6">
        <v>10270.77</v>
      </c>
      <c r="E165" s="6">
        <v>179765.85</v>
      </c>
      <c r="F165" s="6">
        <v>25000</v>
      </c>
      <c r="H165" s="9"/>
    </row>
    <row r="166" spans="1:8" s="4" customFormat="1" ht="15">
      <c r="A166" s="8" t="s">
        <v>39</v>
      </c>
      <c r="B166" s="6">
        <v>0</v>
      </c>
      <c r="C166" s="6">
        <v>0</v>
      </c>
      <c r="D166" s="6">
        <v>0</v>
      </c>
      <c r="E166" s="6">
        <v>800000</v>
      </c>
      <c r="F166" s="6">
        <v>0</v>
      </c>
      <c r="H166" s="9"/>
    </row>
    <row r="167" spans="1:8" s="4" customFormat="1" ht="15">
      <c r="A167" s="8" t="s">
        <v>40</v>
      </c>
      <c r="B167" s="54">
        <v>57515534.519999988</v>
      </c>
      <c r="C167" s="54">
        <v>89209265.51000005</v>
      </c>
      <c r="D167" s="54">
        <v>83649479.180000007</v>
      </c>
      <c r="E167" s="54">
        <f>269403582.61-109726431</f>
        <v>159677151.61000001</v>
      </c>
      <c r="F167" s="54">
        <v>147832705.30000001</v>
      </c>
      <c r="H167" s="9"/>
    </row>
    <row r="168" spans="1:8" s="4" customFormat="1" ht="15">
      <c r="A168" s="8" t="s">
        <v>42</v>
      </c>
      <c r="B168" s="54">
        <f>SUM(B162:B167)</f>
        <v>66483482.489999987</v>
      </c>
      <c r="C168" s="54">
        <f>SUM(C162:C167)</f>
        <v>93207001.730000049</v>
      </c>
      <c r="D168" s="54">
        <f>SUM(D162:D167)</f>
        <v>97337324.310000002</v>
      </c>
      <c r="E168" s="54">
        <f>SUM(E162:E167)</f>
        <v>211886385.68000001</v>
      </c>
      <c r="F168" s="54">
        <f>SUM(F162:F167)</f>
        <v>187348579.40000001</v>
      </c>
      <c r="H168" s="9"/>
    </row>
    <row r="169" spans="1:8" s="4" customFormat="1" ht="15">
      <c r="A169" s="7"/>
      <c r="B169" s="6"/>
      <c r="C169" s="6"/>
      <c r="D169" s="6"/>
      <c r="E169" s="6"/>
      <c r="F169" s="6"/>
      <c r="H169" s="9"/>
    </row>
    <row r="170" spans="1:8" s="4" customFormat="1" ht="15">
      <c r="A170" s="41" t="s">
        <v>69</v>
      </c>
      <c r="B170" s="6"/>
      <c r="C170" s="6"/>
      <c r="D170" s="6"/>
      <c r="E170" s="6"/>
      <c r="F170" s="6"/>
      <c r="H170" s="9"/>
    </row>
    <row r="171" spans="1:8" s="4" customFormat="1" ht="15">
      <c r="A171" s="8" t="s">
        <v>35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H171" s="9"/>
    </row>
    <row r="172" spans="1:8" s="4" customFormat="1" ht="15">
      <c r="A172" s="8" t="s">
        <v>36</v>
      </c>
      <c r="B172" s="6">
        <v>0</v>
      </c>
      <c r="C172" s="6">
        <v>0</v>
      </c>
      <c r="D172" s="6">
        <v>0</v>
      </c>
      <c r="E172" s="6">
        <v>0</v>
      </c>
      <c r="F172" s="6">
        <v>0</v>
      </c>
      <c r="H172" s="9"/>
    </row>
    <row r="173" spans="1:8" s="4" customFormat="1" ht="15">
      <c r="A173" s="8" t="s">
        <v>37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H173" s="9"/>
    </row>
    <row r="174" spans="1:8" s="4" customFormat="1" ht="15">
      <c r="A174" s="8" t="s">
        <v>38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H174" s="9"/>
    </row>
    <row r="175" spans="1:8" s="4" customFormat="1" ht="15">
      <c r="A175" s="8" t="s">
        <v>39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H175" s="9"/>
    </row>
    <row r="176" spans="1:8" s="4" customFormat="1" ht="15">
      <c r="A176" s="8" t="s">
        <v>40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H176" s="9"/>
    </row>
    <row r="177" spans="1:8" s="4" customFormat="1" ht="15">
      <c r="A177" s="8" t="s">
        <v>42</v>
      </c>
      <c r="B177" s="54">
        <f>SUM(B171:B176)</f>
        <v>0</v>
      </c>
      <c r="C177" s="54">
        <f>SUM(C171:C176)</f>
        <v>0</v>
      </c>
      <c r="D177" s="54">
        <f>SUM(D171:D176)</f>
        <v>0</v>
      </c>
      <c r="E177" s="54">
        <f>SUM(E171:E176)</f>
        <v>0</v>
      </c>
      <c r="F177" s="54">
        <f>SUM(F171:F176)</f>
        <v>0</v>
      </c>
      <c r="H177" s="9"/>
    </row>
    <row r="178" spans="1:8" s="4" customFormat="1" ht="15">
      <c r="A178" s="7"/>
      <c r="B178" s="6"/>
      <c r="C178" s="6"/>
      <c r="D178" s="6"/>
      <c r="E178" s="6"/>
      <c r="F178" s="6"/>
      <c r="H178" s="9"/>
    </row>
    <row r="179" spans="1:8" s="4" customFormat="1" ht="15">
      <c r="A179" s="41" t="s">
        <v>84</v>
      </c>
      <c r="B179" s="6"/>
      <c r="C179" s="6"/>
      <c r="D179" s="6"/>
      <c r="E179" s="6"/>
      <c r="F179" s="6"/>
      <c r="H179" s="9"/>
    </row>
    <row r="180" spans="1:8" s="4" customFormat="1" ht="15">
      <c r="A180" s="8" t="s">
        <v>35</v>
      </c>
      <c r="B180" s="6">
        <f>0+0</f>
        <v>0</v>
      </c>
      <c r="C180" s="6">
        <f>0+0</f>
        <v>0</v>
      </c>
      <c r="D180" s="6">
        <f>0+0</f>
        <v>0</v>
      </c>
      <c r="E180" s="6">
        <f>0+0</f>
        <v>0</v>
      </c>
      <c r="F180" s="6">
        <f>0+0</f>
        <v>0</v>
      </c>
      <c r="H180" s="9"/>
    </row>
    <row r="181" spans="1:8" s="4" customFormat="1" ht="15">
      <c r="A181" s="8" t="s">
        <v>36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H181" s="9"/>
    </row>
    <row r="182" spans="1:8" s="4" customFormat="1" ht="15">
      <c r="A182" s="8" t="s">
        <v>37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H182" s="9"/>
    </row>
    <row r="183" spans="1:8" s="4" customFormat="1" ht="15">
      <c r="A183" s="8" t="s">
        <v>38</v>
      </c>
      <c r="B183" s="6">
        <f>0+0</f>
        <v>0</v>
      </c>
      <c r="C183" s="6">
        <f>0+0</f>
        <v>0</v>
      </c>
      <c r="D183" s="6">
        <f>0+0</f>
        <v>0</v>
      </c>
      <c r="E183" s="6">
        <f>0+0</f>
        <v>0</v>
      </c>
      <c r="F183" s="6">
        <f>0+0</f>
        <v>0</v>
      </c>
      <c r="H183" s="9"/>
    </row>
    <row r="184" spans="1:8" s="4" customFormat="1" ht="15">
      <c r="A184" s="8" t="s">
        <v>39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H184" s="9"/>
    </row>
    <row r="185" spans="1:8" s="4" customFormat="1" ht="15">
      <c r="A185" s="8" t="s">
        <v>40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H185" s="9"/>
    </row>
    <row r="186" spans="1:8" s="4" customFormat="1" ht="15">
      <c r="A186" s="8" t="s">
        <v>42</v>
      </c>
      <c r="B186" s="54">
        <f>SUM(B180:B185)</f>
        <v>0</v>
      </c>
      <c r="C186" s="54">
        <f>SUM(C180:C185)</f>
        <v>0</v>
      </c>
      <c r="D186" s="54">
        <f>SUM(D180:D185)</f>
        <v>0</v>
      </c>
      <c r="E186" s="54">
        <f>SUM(E180:E185)</f>
        <v>0</v>
      </c>
      <c r="F186" s="54">
        <f>SUM(F180:F185)</f>
        <v>0</v>
      </c>
      <c r="H186" s="9"/>
    </row>
    <row r="187" spans="1:8" s="4" customFormat="1" ht="15">
      <c r="A187" s="7"/>
      <c r="B187" s="6"/>
      <c r="C187" s="6"/>
      <c r="D187" s="6"/>
      <c r="E187" s="6"/>
      <c r="F187" s="6"/>
      <c r="H187" s="9"/>
    </row>
    <row r="188" spans="1:8" s="4" customFormat="1" ht="15">
      <c r="A188" s="41" t="s">
        <v>82</v>
      </c>
      <c r="B188" s="6"/>
      <c r="C188" s="6"/>
      <c r="D188" s="6"/>
      <c r="E188" s="6"/>
      <c r="F188" s="6"/>
      <c r="H188" s="9"/>
    </row>
    <row r="189" spans="1:8" s="4" customFormat="1" ht="15">
      <c r="A189" s="8" t="s">
        <v>35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H189" s="9"/>
    </row>
    <row r="190" spans="1:8" s="4" customFormat="1" ht="15">
      <c r="A190" s="8" t="s">
        <v>36</v>
      </c>
      <c r="B190" s="6">
        <v>0</v>
      </c>
      <c r="C190" s="6">
        <v>0</v>
      </c>
      <c r="D190" s="6">
        <v>0</v>
      </c>
      <c r="E190" s="6">
        <v>0</v>
      </c>
      <c r="F190" s="6">
        <v>0</v>
      </c>
      <c r="H190" s="9"/>
    </row>
    <row r="191" spans="1:8" s="4" customFormat="1" ht="15">
      <c r="A191" s="8" t="s">
        <v>37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H191" s="9"/>
    </row>
    <row r="192" spans="1:8" s="4" customFormat="1" ht="15">
      <c r="A192" s="8" t="s">
        <v>38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H192" s="9"/>
    </row>
    <row r="193" spans="1:8" s="4" customFormat="1" ht="15">
      <c r="A193" s="8" t="s">
        <v>39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H193" s="9"/>
    </row>
    <row r="194" spans="1:8" s="4" customFormat="1" ht="15">
      <c r="A194" s="8" t="s">
        <v>40</v>
      </c>
      <c r="B194" s="54">
        <v>0</v>
      </c>
      <c r="C194" s="54">
        <v>0</v>
      </c>
      <c r="D194" s="54">
        <v>0</v>
      </c>
      <c r="E194" s="54">
        <v>0</v>
      </c>
      <c r="F194" s="54">
        <v>0</v>
      </c>
      <c r="H194" s="9"/>
    </row>
    <row r="195" spans="1:8" s="4" customFormat="1" ht="15">
      <c r="A195" s="8" t="s">
        <v>42</v>
      </c>
      <c r="B195" s="54">
        <f>SUM(B189:B194)</f>
        <v>0</v>
      </c>
      <c r="C195" s="54">
        <f>SUM(C189:C194)</f>
        <v>0</v>
      </c>
      <c r="D195" s="54">
        <f>SUM(D189:D194)</f>
        <v>0</v>
      </c>
      <c r="E195" s="54">
        <f>SUM(E189:E194)</f>
        <v>0</v>
      </c>
      <c r="F195" s="54">
        <f>SUM(F189:F194)</f>
        <v>0</v>
      </c>
      <c r="H195" s="9"/>
    </row>
    <row r="196" spans="1:8" s="4" customFormat="1" ht="15">
      <c r="A196" s="7"/>
      <c r="B196" s="6"/>
      <c r="C196" s="6"/>
      <c r="D196" s="6"/>
      <c r="E196" s="6"/>
      <c r="F196" s="6"/>
      <c r="H196" s="9"/>
    </row>
    <row r="197" spans="1:8" s="4" customFormat="1" ht="15">
      <c r="A197" s="41" t="s">
        <v>70</v>
      </c>
      <c r="B197" s="6"/>
      <c r="C197" s="6"/>
      <c r="D197" s="6"/>
      <c r="E197" s="6"/>
      <c r="F197" s="6"/>
      <c r="H197" s="9"/>
    </row>
    <row r="198" spans="1:8" s="4" customFormat="1" ht="15">
      <c r="A198" s="8" t="s">
        <v>35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H198" s="9"/>
    </row>
    <row r="199" spans="1:8" s="4" customFormat="1" ht="15">
      <c r="A199" s="8" t="s">
        <v>36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H199" s="9"/>
    </row>
    <row r="200" spans="1:8" s="4" customFormat="1" ht="15">
      <c r="A200" s="8" t="s">
        <v>37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H200" s="9"/>
    </row>
    <row r="201" spans="1:8" s="4" customFormat="1" ht="15">
      <c r="A201" s="8" t="s">
        <v>38</v>
      </c>
      <c r="B201" s="6">
        <v>0</v>
      </c>
      <c r="C201" s="6">
        <v>0</v>
      </c>
      <c r="D201" s="6">
        <v>0</v>
      </c>
      <c r="E201" s="6">
        <v>0</v>
      </c>
      <c r="F201" s="6">
        <v>0</v>
      </c>
      <c r="H201" s="9"/>
    </row>
    <row r="202" spans="1:8" s="4" customFormat="1" ht="15">
      <c r="A202" s="8" t="s">
        <v>39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H202" s="9"/>
    </row>
    <row r="203" spans="1:8" s="4" customFormat="1" ht="15">
      <c r="A203" s="8" t="s">
        <v>40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H203" s="9"/>
    </row>
    <row r="204" spans="1:8" s="4" customFormat="1" ht="15">
      <c r="A204" s="8" t="s">
        <v>42</v>
      </c>
      <c r="B204" s="54">
        <f>SUM(B198:B203)</f>
        <v>0</v>
      </c>
      <c r="C204" s="54">
        <f>SUM(C198:C203)</f>
        <v>0</v>
      </c>
      <c r="D204" s="54">
        <f>SUM(D198:D203)</f>
        <v>0</v>
      </c>
      <c r="E204" s="54">
        <f>SUM(E198:E203)</f>
        <v>0</v>
      </c>
      <c r="F204" s="54">
        <f>SUM(F198:F203)</f>
        <v>0</v>
      </c>
      <c r="H204" s="9"/>
    </row>
    <row r="205" spans="1:8" s="4" customFormat="1" ht="15">
      <c r="A205" s="7"/>
      <c r="B205" s="6"/>
      <c r="C205" s="6"/>
      <c r="D205" s="6"/>
      <c r="E205" s="6"/>
      <c r="F205" s="6"/>
      <c r="H205" s="9"/>
    </row>
    <row r="206" spans="1:8" s="4" customFormat="1" ht="15">
      <c r="A206" s="41" t="s">
        <v>83</v>
      </c>
      <c r="B206" s="6"/>
      <c r="C206" s="6"/>
      <c r="D206" s="6"/>
      <c r="E206" s="6"/>
      <c r="F206" s="6"/>
      <c r="H206" s="9"/>
    </row>
    <row r="207" spans="1:8" s="4" customFormat="1" ht="15">
      <c r="A207" s="8" t="s">
        <v>35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H207" s="9"/>
    </row>
    <row r="208" spans="1:8" s="4" customFormat="1" ht="15">
      <c r="A208" s="8" t="s">
        <v>36</v>
      </c>
      <c r="B208" s="6">
        <v>0</v>
      </c>
      <c r="C208" s="6">
        <v>0</v>
      </c>
      <c r="D208" s="6">
        <v>0</v>
      </c>
      <c r="E208" s="6">
        <v>0</v>
      </c>
      <c r="F208" s="6">
        <v>0</v>
      </c>
      <c r="H208" s="9"/>
    </row>
    <row r="209" spans="1:8" s="4" customFormat="1" ht="15">
      <c r="A209" s="8" t="s">
        <v>37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H209" s="9"/>
    </row>
    <row r="210" spans="1:8" s="4" customFormat="1" ht="15">
      <c r="A210" s="8" t="s">
        <v>38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H210" s="9"/>
    </row>
    <row r="211" spans="1:8" s="4" customFormat="1" ht="15">
      <c r="A211" s="8" t="s">
        <v>39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H211" s="9"/>
    </row>
    <row r="212" spans="1:8" s="4" customFormat="1" ht="15">
      <c r="A212" s="8" t="s">
        <v>40</v>
      </c>
      <c r="B212" s="54">
        <v>0</v>
      </c>
      <c r="C212" s="54">
        <v>0</v>
      </c>
      <c r="D212" s="54">
        <v>0</v>
      </c>
      <c r="E212" s="54">
        <v>0</v>
      </c>
      <c r="F212" s="54">
        <v>0</v>
      </c>
      <c r="H212" s="9"/>
    </row>
    <row r="213" spans="1:8" s="4" customFormat="1" ht="15">
      <c r="A213" s="8" t="s">
        <v>42</v>
      </c>
      <c r="B213" s="54">
        <f>SUM(B207:B212)</f>
        <v>0</v>
      </c>
      <c r="C213" s="54">
        <f>SUM(C207:C212)</f>
        <v>0</v>
      </c>
      <c r="D213" s="54">
        <f>SUM(D207:D212)</f>
        <v>0</v>
      </c>
      <c r="E213" s="54">
        <f>SUM(E207:E212)</f>
        <v>0</v>
      </c>
      <c r="F213" s="54">
        <f>SUM(F207:F212)</f>
        <v>0</v>
      </c>
      <c r="H213" s="9"/>
    </row>
    <row r="214" spans="1:8" s="4" customFormat="1" ht="15">
      <c r="A214" s="7"/>
      <c r="B214" s="6"/>
      <c r="C214" s="6"/>
      <c r="D214" s="6"/>
      <c r="E214" s="6"/>
      <c r="F214" s="6"/>
      <c r="H214" s="9"/>
    </row>
    <row r="215" spans="1:8" s="4" customFormat="1" ht="17.25">
      <c r="A215" s="7" t="s">
        <v>23</v>
      </c>
      <c r="B215" s="20">
        <f>B15+B24+B33+B42+B51+B60+B69+B78+B87+B96+B105+B114+B123+B132+B141+B150+B159+B168+B177+B186+B195+B204+B213</f>
        <v>68778279.589999989</v>
      </c>
      <c r="C215" s="20">
        <f>C15+C24+C33+C42+C51+C60+C69+C78+C87+C96+C105+C114+C123+C132+C141+C150+C159+C168+C177+C186+C195+C204+C213</f>
        <v>109455381.22000004</v>
      </c>
      <c r="D215" s="20">
        <f>D15+D24+D33+D42+D51+D60+D69+D78+D87+D96+D105+D114+D123+D132+D141+D150+D159+D168+D177+D186+D195+D204+D213</f>
        <v>107309810.82000001</v>
      </c>
      <c r="E215" s="20">
        <f>E15+E24+E33+E42+E51+E60+E69+E78+E87+E96+E105+E114+E123+E132+E141+E150+E159+E168+E177+E186+E195+E204+E213</f>
        <v>212248352.01000002</v>
      </c>
      <c r="F215" s="20">
        <f>F15+F24+F33+F42+F51+F60+F69+F78+F87+F96+F105+F114+F123+F132+F141+F150+F159+F168+F177+F186+F195+F204+F213</f>
        <v>187624967.40000001</v>
      </c>
      <c r="H215" s="8"/>
    </row>
    <row r="216" spans="1:8" s="4" customFormat="1" ht="15">
      <c r="A216" s="8"/>
      <c r="B216" s="17"/>
      <c r="C216" s="17"/>
      <c r="D216" s="17"/>
      <c r="E216" s="17"/>
      <c r="F216" s="17"/>
      <c r="H216" s="8"/>
    </row>
    <row r="217" spans="1:8" s="4" customFormat="1" ht="15">
      <c r="A217" s="8"/>
      <c r="B217" s="17"/>
      <c r="C217" s="17"/>
      <c r="D217" s="17"/>
      <c r="E217" s="17"/>
      <c r="F217" s="17"/>
      <c r="H217" s="8"/>
    </row>
    <row r="218" spans="1:8" s="4" customFormat="1" ht="15">
      <c r="A218" s="8"/>
      <c r="B218" s="17"/>
      <c r="C218" s="17"/>
      <c r="D218" s="17"/>
      <c r="E218" s="17"/>
      <c r="F218" s="17"/>
      <c r="H218" s="8"/>
    </row>
    <row r="219" spans="1:8" s="4" customFormat="1" ht="15">
      <c r="A219" s="7" t="s">
        <v>61</v>
      </c>
      <c r="B219" s="17"/>
      <c r="C219" s="17"/>
      <c r="D219" s="17"/>
      <c r="E219" s="17"/>
      <c r="F219" s="17"/>
    </row>
    <row r="220" spans="1:8" s="4" customFormat="1" ht="15">
      <c r="A220" s="8" t="s">
        <v>35</v>
      </c>
      <c r="B220" s="6">
        <f t="shared" ref="B220:E225" si="0">B9+B18+B27+B36+B45+B54+B63+B72+B81+B90+B99+B108+B117+B126+B135+B144+B153+B162+B171+B180+B189+B198+B207</f>
        <v>455825.35000000009</v>
      </c>
      <c r="C220" s="6">
        <f t="shared" si="0"/>
        <v>468684.66000000003</v>
      </c>
      <c r="D220" s="6">
        <f t="shared" si="0"/>
        <v>488072.28</v>
      </c>
      <c r="E220" s="6">
        <f t="shared" si="0"/>
        <v>731155.10999999987</v>
      </c>
      <c r="F220" s="6">
        <f t="shared" ref="F220:F225" si="1">F9+F18+F27+F36+F45+F54+F63+F72+F81+F90+F99+F108+F117+F126+F135+F144+F153+F162+F171+F180+F189+F198+F207</f>
        <v>1154046</v>
      </c>
      <c r="H220" s="9"/>
    </row>
    <row r="221" spans="1:8" s="4" customFormat="1" ht="15">
      <c r="A221" s="8" t="s">
        <v>36</v>
      </c>
      <c r="B221" s="6">
        <f t="shared" si="0"/>
        <v>0</v>
      </c>
      <c r="C221" s="6">
        <f t="shared" si="0"/>
        <v>0</v>
      </c>
      <c r="D221" s="6">
        <f t="shared" si="0"/>
        <v>0</v>
      </c>
      <c r="E221" s="6">
        <f t="shared" si="0"/>
        <v>0</v>
      </c>
      <c r="F221" s="6">
        <f t="shared" si="1"/>
        <v>0</v>
      </c>
      <c r="H221" s="9"/>
    </row>
    <row r="222" spans="1:8" s="4" customFormat="1" ht="15">
      <c r="A222" s="8" t="s">
        <v>37</v>
      </c>
      <c r="B222" s="6">
        <f t="shared" si="0"/>
        <v>10039910.689999999</v>
      </c>
      <c r="C222" s="6">
        <f t="shared" si="0"/>
        <v>4282503.28</v>
      </c>
      <c r="D222" s="6">
        <f t="shared" si="0"/>
        <v>16234883.540000001</v>
      </c>
      <c r="E222" s="6">
        <f t="shared" si="0"/>
        <v>50860279.439999998</v>
      </c>
      <c r="F222" s="6">
        <f t="shared" si="1"/>
        <v>38613216.100000001</v>
      </c>
      <c r="H222" s="9"/>
    </row>
    <row r="223" spans="1:8" s="4" customFormat="1" ht="15">
      <c r="A223" s="8" t="s">
        <v>38</v>
      </c>
      <c r="B223" s="6">
        <f t="shared" si="0"/>
        <v>27520.93</v>
      </c>
      <c r="C223" s="6">
        <f t="shared" si="0"/>
        <v>17065.12</v>
      </c>
      <c r="D223" s="6">
        <f t="shared" si="0"/>
        <v>13372.77</v>
      </c>
      <c r="E223" s="6">
        <f t="shared" si="0"/>
        <v>179765.85</v>
      </c>
      <c r="F223" s="6">
        <f t="shared" si="1"/>
        <v>25000</v>
      </c>
      <c r="H223" s="9"/>
    </row>
    <row r="224" spans="1:8" s="4" customFormat="1" ht="15">
      <c r="A224" s="8" t="s">
        <v>39</v>
      </c>
      <c r="B224" s="6">
        <f t="shared" si="0"/>
        <v>709488.10000000009</v>
      </c>
      <c r="C224" s="6">
        <f t="shared" si="0"/>
        <v>736199.65</v>
      </c>
      <c r="D224" s="6">
        <f t="shared" si="0"/>
        <v>758085</v>
      </c>
      <c r="E224" s="6">
        <f t="shared" si="0"/>
        <v>800000</v>
      </c>
      <c r="F224" s="6">
        <f t="shared" si="1"/>
        <v>0</v>
      </c>
      <c r="H224" s="9"/>
    </row>
    <row r="225" spans="1:8" s="4" customFormat="1" ht="17.25">
      <c r="A225" s="8" t="s">
        <v>40</v>
      </c>
      <c r="B225" s="19">
        <f t="shared" si="0"/>
        <v>57545534.519999988</v>
      </c>
      <c r="C225" s="19">
        <f t="shared" si="0"/>
        <v>103950928.51000005</v>
      </c>
      <c r="D225" s="19">
        <f t="shared" si="0"/>
        <v>89815397.230000004</v>
      </c>
      <c r="E225" s="19">
        <f t="shared" si="0"/>
        <v>159677151.61000001</v>
      </c>
      <c r="F225" s="19">
        <f t="shared" si="1"/>
        <v>147832705.30000001</v>
      </c>
      <c r="H225" s="9"/>
    </row>
    <row r="226" spans="1:8" s="4" customFormat="1" ht="15">
      <c r="A226" s="8"/>
      <c r="B226" s="54"/>
      <c r="C226" s="54"/>
      <c r="D226" s="54"/>
      <c r="E226" s="54"/>
      <c r="F226" s="54"/>
      <c r="H226" s="9"/>
    </row>
    <row r="227" spans="1:8" s="4" customFormat="1" ht="15">
      <c r="A227" s="7" t="s">
        <v>23</v>
      </c>
      <c r="B227" s="54">
        <f>SUM(B220:B225)</f>
        <v>68778279.589999989</v>
      </c>
      <c r="C227" s="54">
        <f>SUM(C220:C225)</f>
        <v>109455381.22000006</v>
      </c>
      <c r="D227" s="54">
        <f>SUM(D220:D225)</f>
        <v>107309810.82000001</v>
      </c>
      <c r="E227" s="54">
        <f>SUM(E220:E225)</f>
        <v>212248352.01000002</v>
      </c>
      <c r="F227" s="54">
        <f>SUM(F220:F225)</f>
        <v>187624967.40000001</v>
      </c>
      <c r="H227" s="9"/>
    </row>
    <row r="228" spans="1:8" s="4" customFormat="1" ht="15">
      <c r="A228" s="7"/>
      <c r="B228" s="9"/>
      <c r="C228" s="9"/>
      <c r="D228" s="9"/>
      <c r="E228" s="9"/>
      <c r="F228" s="9"/>
      <c r="H228" s="9"/>
    </row>
    <row r="229" spans="1:8" s="4" customFormat="1" ht="15">
      <c r="A229" s="7"/>
      <c r="B229" s="9"/>
      <c r="C229" s="9"/>
      <c r="D229" s="9"/>
      <c r="E229" s="9"/>
      <c r="F229" s="9"/>
      <c r="H229" s="9"/>
    </row>
    <row r="230" spans="1:8" s="4" customFormat="1" ht="15">
      <c r="A230" s="7"/>
      <c r="B230" s="9"/>
      <c r="C230" s="9"/>
      <c r="D230" s="9"/>
      <c r="E230" s="9"/>
      <c r="F230" s="9"/>
      <c r="H230" s="9"/>
    </row>
    <row r="231" spans="1:8" s="4" customFormat="1" ht="15">
      <c r="A231" s="7"/>
      <c r="B231" s="9"/>
      <c r="C231" s="9"/>
      <c r="D231" s="9"/>
      <c r="E231" s="9"/>
      <c r="F231" s="9"/>
      <c r="H231" s="9"/>
    </row>
    <row r="232" spans="1:8" s="4" customFormat="1" ht="15">
      <c r="A232" s="7"/>
      <c r="B232" s="9"/>
      <c r="C232" s="9"/>
      <c r="D232" s="9"/>
      <c r="E232" s="9"/>
      <c r="F232" s="9"/>
      <c r="H232" s="9"/>
    </row>
    <row r="233" spans="1:8" s="4" customFormat="1" ht="12.75" customHeight="1">
      <c r="A233" s="7"/>
      <c r="B233" s="9"/>
      <c r="C233" s="9"/>
      <c r="D233" s="9"/>
      <c r="E233" s="9"/>
      <c r="F233" s="9"/>
      <c r="H233" s="9"/>
    </row>
    <row r="234" spans="1:8" s="4" customFormat="1" ht="12.75" customHeight="1">
      <c r="A234" s="8"/>
      <c r="B234" s="9"/>
      <c r="C234" s="9"/>
      <c r="D234" s="9"/>
      <c r="E234" s="9"/>
      <c r="F234" s="9"/>
      <c r="H234" s="9"/>
    </row>
    <row r="235" spans="1:8" s="4" customFormat="1" ht="12.75" customHeight="1">
      <c r="A235" s="8"/>
      <c r="B235" s="9"/>
      <c r="C235" s="9"/>
      <c r="D235" s="9"/>
      <c r="E235" s="9"/>
      <c r="F235" s="9"/>
      <c r="H235" s="9"/>
    </row>
    <row r="236" spans="1:8" s="4" customFormat="1" ht="12.75" customHeight="1">
      <c r="A236" s="8"/>
      <c r="B236" s="38"/>
      <c r="C236" s="38"/>
      <c r="D236" s="38"/>
      <c r="E236" s="38"/>
      <c r="F236" s="38"/>
      <c r="H236" s="9"/>
    </row>
    <row r="237" spans="1:8" s="4" customFormat="1" ht="12.75" customHeight="1">
      <c r="A237" s="8"/>
      <c r="B237" s="8"/>
      <c r="C237" s="8"/>
      <c r="D237" s="8"/>
      <c r="E237" s="8"/>
      <c r="F237" s="8"/>
    </row>
    <row r="238" spans="1:8" s="4" customFormat="1" ht="12.75" customHeight="1">
      <c r="A238" s="8"/>
      <c r="B238" s="8"/>
      <c r="C238" s="8"/>
      <c r="D238" s="8"/>
      <c r="E238" s="8"/>
      <c r="F238" s="8"/>
    </row>
    <row r="239" spans="1:8" s="4" customFormat="1" ht="12.75" customHeight="1">
      <c r="A239" s="8"/>
      <c r="B239" s="8"/>
      <c r="C239" s="8"/>
      <c r="D239" s="8"/>
      <c r="E239" s="8"/>
      <c r="F239" s="8"/>
    </row>
    <row r="240" spans="1:8" s="4" customFormat="1" ht="12.75" customHeight="1">
      <c r="A240" s="7"/>
      <c r="B240" s="8"/>
      <c r="C240" s="8"/>
      <c r="D240" s="8"/>
      <c r="E240" s="8"/>
      <c r="F240" s="8"/>
    </row>
    <row r="241" spans="1:6" s="4" customFormat="1" ht="12.75" customHeight="1">
      <c r="A241" s="8"/>
      <c r="B241" s="8"/>
      <c r="C241" s="8"/>
      <c r="D241" s="8"/>
      <c r="E241" s="8"/>
      <c r="F241" s="8"/>
    </row>
    <row r="242" spans="1:6" s="4" customFormat="1" ht="12.75" customHeight="1">
      <c r="B242" s="3"/>
      <c r="C242" s="3"/>
      <c r="D242" s="3"/>
      <c r="E242" s="3"/>
      <c r="F242" s="3"/>
    </row>
    <row r="243" spans="1:6" s="4" customFormat="1" ht="12.75" customHeight="1">
      <c r="B243" s="3"/>
      <c r="C243" s="3"/>
      <c r="D243" s="3"/>
      <c r="E243" s="3"/>
      <c r="F243" s="3"/>
    </row>
    <row r="244" spans="1:6" s="4" customFormat="1" ht="12.75" customHeight="1">
      <c r="B244" s="3"/>
      <c r="C244" s="3"/>
      <c r="D244" s="3"/>
      <c r="E244" s="3"/>
      <c r="F244" s="3"/>
    </row>
    <row r="245" spans="1:6" s="4" customFormat="1" ht="12.75" customHeight="1">
      <c r="B245" s="3"/>
      <c r="C245" s="3"/>
      <c r="D245" s="3"/>
      <c r="E245" s="3"/>
      <c r="F245" s="3"/>
    </row>
    <row r="246" spans="1:6" s="4" customFormat="1" ht="12.75" customHeight="1">
      <c r="B246" s="8"/>
      <c r="C246" s="8"/>
      <c r="D246" s="8"/>
      <c r="E246" s="8"/>
      <c r="F246" s="8"/>
    </row>
    <row r="247" spans="1:6" s="4" customFormat="1" ht="12.75" customHeight="1">
      <c r="B247" s="3"/>
      <c r="C247" s="3"/>
      <c r="D247" s="3"/>
      <c r="E247" s="3"/>
      <c r="F247" s="3"/>
    </row>
    <row r="248" spans="1:6" s="4" customFormat="1" ht="12.75" customHeight="1">
      <c r="B248" s="11"/>
      <c r="C248" s="11"/>
      <c r="D248" s="11"/>
      <c r="E248" s="11"/>
      <c r="F248" s="11"/>
    </row>
    <row r="249" spans="1:6" s="4" customFormat="1" ht="12.75" customHeight="1">
      <c r="B249" s="8"/>
      <c r="C249" s="8"/>
      <c r="D249" s="8"/>
      <c r="E249" s="8"/>
      <c r="F249" s="8"/>
    </row>
    <row r="250" spans="1:6" s="4" customFormat="1" ht="12.75" customHeight="1">
      <c r="B250" s="8"/>
      <c r="C250" s="8"/>
      <c r="D250" s="8"/>
      <c r="E250" s="8"/>
      <c r="F250" s="8"/>
    </row>
    <row r="251" spans="1:6" s="4" customFormat="1" ht="12.75" customHeight="1">
      <c r="B251" s="8"/>
      <c r="C251" s="8"/>
      <c r="D251" s="8"/>
      <c r="E251" s="8"/>
      <c r="F251" s="8"/>
    </row>
    <row r="252" spans="1:6" s="4" customFormat="1" ht="12.75" customHeight="1">
      <c r="B252" s="8"/>
      <c r="C252" s="8"/>
      <c r="D252" s="8"/>
      <c r="E252" s="8"/>
      <c r="F252" s="8"/>
    </row>
    <row r="253" spans="1:6" s="4" customFormat="1" ht="12.75" customHeight="1">
      <c r="A253" s="8"/>
      <c r="B253" s="8"/>
      <c r="C253" s="8"/>
      <c r="D253" s="8"/>
      <c r="E253" s="8"/>
      <c r="F253" s="8"/>
    </row>
    <row r="254" spans="1:6" s="4" customFormat="1" ht="12.75" customHeight="1">
      <c r="A254" s="8"/>
      <c r="B254" s="8"/>
      <c r="C254" s="8"/>
      <c r="D254" s="8"/>
      <c r="E254" s="8"/>
      <c r="F254" s="8"/>
    </row>
    <row r="255" spans="1:6" s="4" customFormat="1" ht="12.75" customHeight="1">
      <c r="A255" s="8"/>
      <c r="B255" s="8"/>
      <c r="C255" s="8"/>
      <c r="D255" s="8"/>
      <c r="E255" s="8"/>
      <c r="F255" s="8"/>
    </row>
    <row r="256" spans="1:6" s="4" customFormat="1" ht="12.75" customHeight="1">
      <c r="A256" s="8"/>
      <c r="B256" s="8"/>
      <c r="C256" s="8"/>
      <c r="D256" s="8"/>
      <c r="E256" s="8"/>
      <c r="F256" s="8"/>
    </row>
    <row r="257" spans="1:6" s="4" customFormat="1" ht="12.75" customHeight="1">
      <c r="A257" s="8"/>
      <c r="B257" s="8"/>
      <c r="C257" s="8"/>
      <c r="D257" s="8"/>
      <c r="E257" s="8"/>
      <c r="F257" s="8"/>
    </row>
    <row r="258" spans="1:6" s="4" customFormat="1" ht="12.75" customHeight="1">
      <c r="A258" s="8"/>
      <c r="B258" s="8"/>
      <c r="C258" s="8"/>
      <c r="D258" s="8"/>
      <c r="E258" s="8"/>
      <c r="F258" s="8"/>
    </row>
    <row r="259" spans="1:6" s="4" customFormat="1" ht="12.75" customHeight="1">
      <c r="A259" s="8"/>
      <c r="B259" s="8"/>
      <c r="C259" s="8"/>
      <c r="D259" s="8"/>
      <c r="E259" s="8"/>
      <c r="F259" s="8"/>
    </row>
    <row r="260" spans="1:6" s="4" customFormat="1" ht="12.75" customHeight="1">
      <c r="A260" s="8"/>
      <c r="B260" s="8"/>
      <c r="C260" s="8"/>
      <c r="D260" s="8"/>
      <c r="E260" s="8"/>
      <c r="F260" s="8"/>
    </row>
    <row r="261" spans="1:6" s="4" customFormat="1" ht="12.75" customHeight="1">
      <c r="A261" s="8"/>
      <c r="B261" s="8"/>
      <c r="C261" s="8"/>
      <c r="D261" s="8"/>
      <c r="E261" s="8"/>
      <c r="F261" s="8"/>
    </row>
    <row r="262" spans="1:6" s="4" customFormat="1" ht="12.75" customHeight="1">
      <c r="A262" s="8"/>
      <c r="B262" s="8"/>
      <c r="C262" s="8"/>
      <c r="D262" s="8"/>
      <c r="E262" s="8"/>
      <c r="F262" s="8"/>
    </row>
    <row r="263" spans="1:6" s="4" customFormat="1" ht="12.75" customHeight="1">
      <c r="A263" s="8"/>
      <c r="B263" s="8"/>
      <c r="C263" s="8"/>
      <c r="D263" s="8"/>
      <c r="E263" s="8"/>
      <c r="F263" s="8"/>
    </row>
    <row r="264" spans="1:6" s="4" customFormat="1" ht="12.75" customHeight="1">
      <c r="A264" s="8"/>
      <c r="B264" s="8"/>
      <c r="C264" s="8"/>
      <c r="D264" s="8"/>
      <c r="E264" s="8"/>
      <c r="F264" s="8"/>
    </row>
    <row r="265" spans="1:6" s="4" customFormat="1" ht="12.75" customHeight="1">
      <c r="A265" s="8"/>
      <c r="B265" s="8"/>
      <c r="C265" s="8"/>
      <c r="D265" s="8"/>
      <c r="E265" s="8"/>
      <c r="F265" s="8"/>
    </row>
    <row r="266" spans="1:6" s="4" customFormat="1" ht="12.75" customHeight="1">
      <c r="A266" s="8"/>
      <c r="B266" s="8"/>
      <c r="C266" s="8"/>
      <c r="D266" s="8"/>
      <c r="E266" s="8"/>
      <c r="F266" s="8"/>
    </row>
    <row r="267" spans="1:6" s="4" customFormat="1" ht="12.75" customHeight="1">
      <c r="A267" s="8"/>
      <c r="B267" s="8"/>
      <c r="C267" s="8"/>
      <c r="D267" s="8"/>
      <c r="E267" s="8"/>
      <c r="F267" s="8"/>
    </row>
    <row r="268" spans="1:6" s="4" customFormat="1" ht="12.75" customHeight="1">
      <c r="A268" s="8"/>
      <c r="B268" s="8"/>
      <c r="C268" s="8"/>
      <c r="D268" s="8"/>
      <c r="E268" s="8"/>
      <c r="F268" s="8"/>
    </row>
    <row r="269" spans="1:6" s="4" customFormat="1" ht="12.75" customHeight="1">
      <c r="A269" s="3"/>
      <c r="B269" s="3"/>
      <c r="C269" s="3"/>
      <c r="D269" s="3"/>
      <c r="E269" s="3"/>
      <c r="F269" s="3"/>
    </row>
    <row r="270" spans="1:6" s="4" customFormat="1" ht="12.75" customHeight="1">
      <c r="A270" s="3"/>
      <c r="B270" s="3"/>
      <c r="C270" s="3"/>
      <c r="D270" s="3"/>
      <c r="E270" s="3"/>
      <c r="F270" s="3"/>
    </row>
    <row r="271" spans="1:6" s="4" customFormat="1" ht="12.75" customHeight="1">
      <c r="A271" s="3"/>
      <c r="B271" s="3"/>
      <c r="C271" s="3"/>
      <c r="D271" s="3"/>
      <c r="E271" s="3"/>
      <c r="F271" s="3"/>
    </row>
    <row r="272" spans="1:6" s="4" customFormat="1" ht="12.75" customHeight="1">
      <c r="A272" s="3"/>
      <c r="B272" s="3"/>
      <c r="C272" s="3"/>
      <c r="D272" s="3"/>
      <c r="E272" s="3"/>
      <c r="F272" s="3"/>
    </row>
    <row r="273" spans="1:6" s="4" customFormat="1" ht="12.75" customHeight="1">
      <c r="A273" s="8"/>
      <c r="B273" s="8"/>
      <c r="C273" s="8"/>
      <c r="D273" s="8"/>
      <c r="E273" s="8"/>
      <c r="F273" s="8"/>
    </row>
    <row r="274" spans="1:6" s="4" customFormat="1" ht="12.75" customHeight="1">
      <c r="A274" s="8"/>
      <c r="B274" s="3"/>
      <c r="C274" s="3"/>
      <c r="D274" s="3"/>
      <c r="E274" s="3"/>
      <c r="F274" s="3"/>
    </row>
    <row r="275" spans="1:6" s="4" customFormat="1" ht="12.75" customHeight="1">
      <c r="A275" s="8"/>
      <c r="B275" s="11"/>
      <c r="C275" s="11"/>
      <c r="D275" s="11"/>
      <c r="E275" s="11"/>
      <c r="F275" s="11"/>
    </row>
    <row r="276" spans="1:6" s="4" customFormat="1" ht="12.75" customHeight="1">
      <c r="A276" s="8"/>
      <c r="B276" s="8"/>
      <c r="C276" s="8"/>
      <c r="D276" s="8"/>
      <c r="E276" s="8"/>
      <c r="F276" s="8"/>
    </row>
    <row r="277" spans="1:6" s="4" customFormat="1" ht="12.75" customHeight="1">
      <c r="A277" s="8"/>
      <c r="B277" s="8"/>
      <c r="C277" s="8"/>
      <c r="D277" s="8"/>
      <c r="E277" s="8"/>
      <c r="F277" s="8"/>
    </row>
    <row r="278" spans="1:6" s="4" customFormat="1" ht="12.75" customHeight="1">
      <c r="A278" s="8"/>
      <c r="B278" s="8"/>
      <c r="C278" s="8"/>
      <c r="D278" s="8"/>
      <c r="E278" s="8"/>
      <c r="F278" s="8"/>
    </row>
    <row r="279" spans="1:6" s="4" customFormat="1" ht="12.75" customHeight="1">
      <c r="A279" s="8"/>
      <c r="B279" s="8"/>
      <c r="C279" s="8"/>
      <c r="D279" s="8"/>
      <c r="E279" s="8"/>
      <c r="F279" s="8"/>
    </row>
    <row r="280" spans="1:6" s="4" customFormat="1" ht="12.75" customHeight="1">
      <c r="A280" s="8"/>
      <c r="B280" s="8"/>
      <c r="C280" s="8"/>
      <c r="D280" s="8"/>
      <c r="E280" s="8"/>
      <c r="F280" s="8"/>
    </row>
    <row r="281" spans="1:6" s="4" customFormat="1" ht="12.75" customHeight="1">
      <c r="A281" s="8"/>
      <c r="B281" s="8"/>
      <c r="C281" s="8"/>
      <c r="D281" s="8"/>
      <c r="E281" s="8"/>
      <c r="F281" s="8"/>
    </row>
    <row r="282" spans="1:6" s="4" customFormat="1" ht="12.75" customHeight="1">
      <c r="A282" s="8"/>
      <c r="B282" s="8"/>
      <c r="C282" s="8"/>
      <c r="D282" s="8"/>
      <c r="E282" s="8"/>
      <c r="F282" s="8"/>
    </row>
    <row r="283" spans="1:6" s="4" customFormat="1" ht="12.75" customHeight="1">
      <c r="A283" s="8"/>
      <c r="B283" s="8"/>
      <c r="C283" s="8"/>
      <c r="D283" s="8"/>
      <c r="E283" s="8"/>
      <c r="F283" s="8"/>
    </row>
    <row r="284" spans="1:6" s="4" customFormat="1" ht="12.75" customHeight="1">
      <c r="A284" s="8"/>
      <c r="B284" s="8"/>
      <c r="C284" s="8"/>
      <c r="D284" s="8"/>
      <c r="E284" s="8"/>
      <c r="F284" s="8"/>
    </row>
    <row r="285" spans="1:6" s="4" customFormat="1" ht="12.75" customHeight="1">
      <c r="A285" s="8"/>
      <c r="B285" s="8"/>
      <c r="C285" s="8"/>
      <c r="D285" s="8"/>
      <c r="E285" s="8"/>
      <c r="F285" s="8"/>
    </row>
    <row r="286" spans="1:6" s="4" customFormat="1" ht="12.75" customHeight="1">
      <c r="A286" s="12"/>
      <c r="B286" s="12"/>
      <c r="C286" s="12"/>
      <c r="D286" s="12"/>
      <c r="E286" s="12"/>
      <c r="F286" s="12"/>
    </row>
    <row r="287" spans="1:6" s="4" customFormat="1" ht="12.75" customHeight="1">
      <c r="A287" s="8"/>
      <c r="B287" s="8"/>
      <c r="C287" s="8"/>
      <c r="D287" s="8"/>
      <c r="E287" s="8"/>
      <c r="F287" s="8"/>
    </row>
    <row r="288" spans="1:6" s="4" customFormat="1" ht="12.75" customHeight="1">
      <c r="A288" s="8"/>
      <c r="B288" s="8"/>
      <c r="C288" s="8"/>
      <c r="D288" s="8"/>
      <c r="E288" s="8"/>
      <c r="F288" s="8"/>
    </row>
    <row r="289" spans="1:6" s="4" customFormat="1" ht="12.75" customHeight="1">
      <c r="A289" s="8"/>
      <c r="B289" s="8"/>
      <c r="C289" s="8"/>
      <c r="D289" s="8"/>
      <c r="E289" s="8"/>
      <c r="F289" s="8"/>
    </row>
    <row r="290" spans="1:6" s="4" customFormat="1" ht="12.75" customHeight="1">
      <c r="A290" s="8"/>
      <c r="B290" s="8"/>
      <c r="C290" s="8"/>
      <c r="D290" s="8"/>
      <c r="E290" s="8"/>
      <c r="F290" s="8"/>
    </row>
    <row r="291" spans="1:6" s="4" customFormat="1" ht="12.75" customHeight="1">
      <c r="A291" s="8"/>
      <c r="B291" s="8"/>
      <c r="C291" s="8"/>
      <c r="D291" s="8"/>
      <c r="E291" s="8"/>
      <c r="F291" s="8"/>
    </row>
    <row r="292" spans="1:6" s="4" customFormat="1" ht="12.75" customHeight="1">
      <c r="A292" s="8"/>
      <c r="B292" s="8"/>
      <c r="C292" s="8"/>
      <c r="D292" s="8"/>
      <c r="E292" s="8"/>
      <c r="F292" s="8"/>
    </row>
    <row r="293" spans="1:6" s="4" customFormat="1" ht="12.75" customHeight="1">
      <c r="A293" s="8"/>
      <c r="B293" s="8"/>
      <c r="C293" s="8"/>
      <c r="D293" s="8"/>
      <c r="E293" s="8"/>
      <c r="F293" s="8"/>
    </row>
    <row r="294" spans="1:6" s="4" customFormat="1" ht="12.75" customHeight="1">
      <c r="A294" s="8"/>
      <c r="B294" s="8"/>
      <c r="C294" s="8"/>
      <c r="D294" s="8"/>
      <c r="E294" s="8"/>
      <c r="F294" s="8"/>
    </row>
    <row r="295" spans="1:6" s="4" customFormat="1" ht="12.75" customHeight="1">
      <c r="A295" s="8"/>
      <c r="B295" s="8"/>
      <c r="C295" s="8"/>
      <c r="D295" s="8"/>
      <c r="E295" s="8"/>
      <c r="F295" s="8"/>
    </row>
    <row r="296" spans="1:6" s="4" customFormat="1" ht="12.75" customHeight="1">
      <c r="A296" s="8"/>
      <c r="B296" s="8"/>
      <c r="C296" s="8"/>
      <c r="D296" s="8"/>
      <c r="E296" s="8"/>
      <c r="F296" s="8"/>
    </row>
    <row r="297" spans="1:6" s="4" customFormat="1" ht="12.75" customHeight="1">
      <c r="A297" s="8"/>
      <c r="B297" s="8"/>
      <c r="C297" s="8"/>
      <c r="D297" s="8"/>
      <c r="E297" s="8"/>
      <c r="F297" s="8"/>
    </row>
    <row r="298" spans="1:6" s="4" customFormat="1" ht="12.75" customHeight="1">
      <c r="A298" s="8"/>
      <c r="B298" s="8"/>
      <c r="C298" s="8"/>
      <c r="D298" s="8"/>
      <c r="E298" s="8"/>
      <c r="F298" s="8"/>
    </row>
    <row r="299" spans="1:6" s="4" customFormat="1" ht="12.75" customHeight="1">
      <c r="A299" s="8"/>
      <c r="B299" s="8"/>
      <c r="C299" s="8"/>
      <c r="D299" s="8"/>
      <c r="E299" s="8"/>
      <c r="F299" s="8"/>
    </row>
    <row r="300" spans="1:6" s="4" customFormat="1" ht="12.75" customHeight="1">
      <c r="A300" s="8"/>
      <c r="B300" s="8"/>
      <c r="C300" s="8"/>
      <c r="D300" s="8"/>
      <c r="E300" s="8"/>
      <c r="F300" s="8"/>
    </row>
    <row r="301" spans="1:6" s="4" customFormat="1" ht="12.75" customHeight="1">
      <c r="A301" s="8"/>
      <c r="B301" s="8"/>
      <c r="C301" s="8"/>
      <c r="D301" s="8"/>
      <c r="E301" s="8"/>
      <c r="F301" s="8"/>
    </row>
    <row r="302" spans="1:6" s="4" customFormat="1" ht="12.75" customHeight="1">
      <c r="A302" s="8"/>
      <c r="B302" s="8"/>
      <c r="C302" s="8"/>
      <c r="D302" s="8"/>
      <c r="E302" s="8"/>
      <c r="F302" s="8"/>
    </row>
    <row r="303" spans="1:6" s="4" customFormat="1" ht="12.75" customHeight="1">
      <c r="A303" s="8"/>
      <c r="B303" s="8"/>
      <c r="C303" s="8"/>
      <c r="D303" s="8"/>
      <c r="E303" s="8"/>
      <c r="F303" s="8"/>
    </row>
    <row r="304" spans="1:6" s="4" customFormat="1" ht="12.75" customHeight="1">
      <c r="A304" s="8"/>
      <c r="B304" s="8"/>
      <c r="C304" s="8"/>
      <c r="D304" s="8"/>
      <c r="E304" s="8"/>
      <c r="F304" s="8"/>
    </row>
    <row r="305" s="4" customFormat="1" ht="12.75" customHeight="1"/>
    <row r="306" s="4" customFormat="1" ht="12.75" customHeight="1"/>
    <row r="307" s="4" customFormat="1" ht="12.75" customHeight="1"/>
    <row r="308" s="4" customFormat="1" ht="12.75" customHeight="1"/>
    <row r="309" s="4" customFormat="1" ht="12.75" customHeight="1"/>
    <row r="310" s="4" customFormat="1" ht="12.75" customHeight="1"/>
    <row r="311" s="4" customFormat="1" ht="12.75" customHeight="1"/>
    <row r="312" s="4" customFormat="1" ht="12.75" customHeight="1"/>
    <row r="313" s="4" customFormat="1" ht="12.75" customHeight="1"/>
    <row r="314" s="4" customFormat="1" ht="12.75" customHeight="1"/>
    <row r="315" s="4" customFormat="1" ht="12.75" customHeight="1"/>
    <row r="316" s="4" customFormat="1" ht="12.75" customHeight="1"/>
    <row r="317" s="4" customFormat="1" ht="12.75" customHeight="1"/>
    <row r="318" s="4" customFormat="1" ht="12.75" customHeight="1"/>
    <row r="319" s="4" customFormat="1" ht="12.75" customHeight="1"/>
    <row r="320" s="4" customFormat="1" ht="12.75" customHeight="1"/>
    <row r="321" s="4" customFormat="1" ht="12.75" customHeight="1"/>
    <row r="322" s="4" customFormat="1" ht="12.75" customHeight="1"/>
    <row r="323" s="4" customFormat="1" ht="12.75" customHeight="1"/>
    <row r="324" s="4" customFormat="1" ht="12.75" customHeight="1"/>
    <row r="325" s="4" customFormat="1" ht="12.75" customHeight="1"/>
    <row r="326" s="4" customFormat="1" ht="12.75" customHeight="1"/>
    <row r="327" s="4" customFormat="1" ht="12.75" customHeight="1"/>
    <row r="328" s="4" customFormat="1" ht="12.75" customHeight="1"/>
    <row r="329" s="4" customFormat="1" ht="12.75" customHeight="1"/>
    <row r="330" s="4" customFormat="1" ht="12.75" customHeight="1"/>
    <row r="331" s="4" customFormat="1" ht="12.75" customHeight="1"/>
    <row r="332" s="4" customFormat="1" ht="12.75" customHeight="1"/>
    <row r="333" s="4" customFormat="1" ht="12.75" customHeight="1"/>
    <row r="334" s="4" customFormat="1" ht="12.75" customHeight="1"/>
    <row r="335" s="4" customFormat="1" ht="12.75" customHeight="1"/>
    <row r="336" s="4" customFormat="1" ht="12.75" customHeight="1"/>
    <row r="337" s="4" customFormat="1" ht="12.75" customHeight="1"/>
    <row r="338" s="4" customFormat="1" ht="12.75" customHeight="1"/>
    <row r="339" s="4" customFormat="1" ht="12.75" customHeight="1"/>
    <row r="340" s="4" customFormat="1" ht="12.75" customHeight="1"/>
    <row r="341" s="4" customFormat="1" ht="12.75" customHeight="1"/>
    <row r="342" s="4" customFormat="1" ht="12.75" customHeight="1"/>
    <row r="343" s="4" customFormat="1" ht="12.75" customHeight="1"/>
    <row r="344" s="4" customFormat="1" ht="12.75" customHeight="1"/>
    <row r="345" s="4" customFormat="1" ht="12.75" customHeight="1"/>
    <row r="346" s="4" customFormat="1" ht="12.75" customHeight="1"/>
    <row r="347" s="4" customFormat="1" ht="12.75" customHeight="1"/>
    <row r="348" s="4" customFormat="1" ht="12.75" customHeight="1"/>
    <row r="349" s="4" customFormat="1" ht="12.75" customHeight="1"/>
    <row r="350" s="4" customFormat="1" ht="12.75" customHeight="1"/>
    <row r="351" s="4" customFormat="1" ht="12.75" customHeight="1"/>
    <row r="352" s="4" customFormat="1" ht="12.75" customHeight="1"/>
    <row r="353" s="4" customFormat="1" ht="12.75" customHeight="1"/>
    <row r="354" s="4" customFormat="1" ht="12.75" customHeight="1"/>
    <row r="355" s="4" customFormat="1" ht="12.75" customHeight="1"/>
    <row r="356" s="4" customFormat="1" ht="12.75" customHeight="1"/>
    <row r="357" s="4" customFormat="1" ht="12.75" customHeight="1"/>
    <row r="358" s="4" customFormat="1" ht="12.75" customHeight="1"/>
    <row r="359" s="4" customFormat="1" ht="12.75" customHeight="1"/>
    <row r="360" s="4" customFormat="1" ht="12.75" customHeight="1"/>
    <row r="361" s="4" customFormat="1" ht="12.75" customHeight="1"/>
    <row r="362" s="4" customFormat="1" ht="12.75" customHeight="1"/>
    <row r="363" s="4" customFormat="1" ht="12.75" customHeight="1"/>
    <row r="364" s="4" customFormat="1" ht="12.75" customHeight="1"/>
    <row r="365" s="4" customFormat="1" ht="12.75" customHeight="1"/>
    <row r="366" s="4" customFormat="1" ht="12.75" customHeight="1"/>
    <row r="367" s="4" customFormat="1" ht="12.75" customHeight="1"/>
    <row r="368" s="4" customFormat="1" ht="12.75" customHeight="1"/>
    <row r="369" s="4" customFormat="1" ht="12.75" customHeight="1"/>
    <row r="370" s="4" customFormat="1" ht="12.75" customHeight="1"/>
    <row r="371" s="4" customFormat="1" ht="12.75" customHeight="1"/>
    <row r="372" s="4" customFormat="1" ht="12.75" customHeight="1"/>
    <row r="373" s="4" customFormat="1" ht="12.75" customHeight="1"/>
    <row r="374" s="4" customFormat="1" ht="12.75" customHeight="1"/>
    <row r="375" s="4" customFormat="1" ht="12.75" customHeight="1"/>
    <row r="376" s="4" customFormat="1" ht="12.75" customHeight="1"/>
    <row r="377" s="4" customFormat="1" ht="12.75" customHeight="1"/>
    <row r="378" s="4" customFormat="1" ht="12.75" customHeight="1"/>
    <row r="379" s="4" customFormat="1" ht="12.75" customHeight="1"/>
    <row r="380" s="4" customFormat="1" ht="12.75" customHeight="1"/>
    <row r="381" s="4" customFormat="1" ht="12.75" customHeight="1"/>
    <row r="382" s="4" customFormat="1" ht="12.75" customHeight="1"/>
    <row r="383" s="4" customFormat="1" ht="12.75" customHeight="1"/>
    <row r="384" s="4" customFormat="1" ht="12.75" customHeight="1"/>
    <row r="385" s="4" customFormat="1" ht="12.75" customHeight="1"/>
    <row r="386" s="4" customFormat="1" ht="12.75" customHeight="1"/>
    <row r="387" s="4" customFormat="1" ht="12.75" customHeight="1"/>
    <row r="388" s="4" customFormat="1" ht="12.75" customHeight="1"/>
    <row r="389" s="4" customFormat="1" ht="12.75" customHeight="1"/>
    <row r="390" s="4" customFormat="1" ht="12.75" customHeight="1"/>
    <row r="391" s="4" customFormat="1" ht="12.75" customHeight="1"/>
    <row r="392" s="4" customFormat="1" ht="12.75" customHeight="1"/>
    <row r="393" s="4" customFormat="1" ht="12.75" customHeight="1"/>
    <row r="394" s="4" customFormat="1" ht="12.75" customHeight="1"/>
    <row r="395" s="4" customFormat="1" ht="12.75" customHeight="1"/>
    <row r="396" s="4" customFormat="1" ht="12.75" customHeight="1"/>
    <row r="397" s="4" customFormat="1" ht="12.75" customHeight="1"/>
    <row r="398" s="4" customFormat="1" ht="12.75" customHeight="1"/>
    <row r="399" s="4" customFormat="1" ht="12.75" customHeight="1"/>
    <row r="400" s="4" customFormat="1" ht="12.75" customHeight="1"/>
    <row r="401" s="4" customFormat="1" ht="12.75" customHeight="1"/>
    <row r="402" s="4" customFormat="1" ht="12.75" customHeight="1"/>
    <row r="403" s="4" customFormat="1" ht="12.75" customHeight="1"/>
    <row r="404" s="4" customFormat="1" ht="12.75" customHeight="1"/>
    <row r="405" s="4" customFormat="1" ht="12.75" customHeight="1"/>
    <row r="406" s="4" customFormat="1" ht="12.75" customHeight="1"/>
    <row r="407" s="4" customFormat="1" ht="12.75" customHeight="1"/>
    <row r="408" s="4" customFormat="1" ht="12.75" customHeight="1"/>
    <row r="409" s="4" customFormat="1" ht="12.75" customHeight="1"/>
    <row r="410" s="4" customFormat="1" ht="12.75" customHeight="1"/>
    <row r="411" s="4" customFormat="1" ht="12.75" customHeight="1"/>
    <row r="412" s="4" customFormat="1" ht="12.75" customHeight="1"/>
    <row r="413" s="4" customFormat="1" ht="12.75" customHeight="1"/>
    <row r="414" s="4" customFormat="1" ht="12.75" customHeight="1"/>
    <row r="415" s="4" customFormat="1" ht="12.75" customHeight="1"/>
    <row r="416" s="4" customFormat="1" ht="12.75" customHeight="1"/>
    <row r="417" s="4" customFormat="1" ht="12.75" customHeight="1"/>
    <row r="418" s="4" customFormat="1" ht="12.75" customHeight="1"/>
    <row r="419" s="4" customFormat="1" ht="12.75" customHeight="1"/>
    <row r="420" s="4" customFormat="1" ht="12.75" customHeight="1"/>
    <row r="421" s="4" customFormat="1" ht="12.75" customHeight="1"/>
    <row r="422" s="4" customFormat="1" ht="12.75" customHeight="1"/>
    <row r="423" s="4" customFormat="1" ht="12.75" customHeight="1"/>
    <row r="424" s="4" customFormat="1" ht="12.75" customHeight="1"/>
    <row r="425" s="4" customFormat="1" ht="12.75" customHeight="1"/>
    <row r="426" s="4" customFormat="1" ht="12.75" customHeight="1"/>
    <row r="427" s="4" customFormat="1" ht="12.75" customHeight="1"/>
    <row r="428" s="4" customFormat="1" ht="12.75" customHeight="1"/>
    <row r="429" s="4" customFormat="1" ht="12.75" customHeight="1"/>
    <row r="430" s="4" customFormat="1" ht="12.75" customHeight="1"/>
    <row r="431" s="4" customFormat="1" ht="12.75" customHeight="1"/>
    <row r="432" s="4" customFormat="1" ht="12.75" customHeight="1"/>
    <row r="433" s="4" customFormat="1" ht="12.75" customHeight="1"/>
    <row r="434" s="4" customFormat="1" ht="12.75" customHeight="1"/>
    <row r="435" s="4" customFormat="1" ht="12.75" customHeight="1"/>
    <row r="436" s="4" customFormat="1" ht="12.75" customHeight="1"/>
    <row r="437" s="4" customFormat="1" ht="12.75" customHeight="1"/>
    <row r="438" s="4" customFormat="1" ht="12.75" customHeight="1"/>
    <row r="439" s="4" customFormat="1" ht="12.75" customHeight="1"/>
    <row r="440" s="4" customFormat="1" ht="12.75" customHeight="1"/>
    <row r="441" s="4" customFormat="1" ht="12.75" customHeight="1"/>
    <row r="442" s="4" customFormat="1" ht="12.75" customHeight="1"/>
    <row r="443" s="4" customFormat="1" ht="12.75" customHeight="1"/>
    <row r="444" s="4" customFormat="1" ht="12.75" customHeight="1"/>
    <row r="445" s="4" customFormat="1" ht="12.75" customHeight="1"/>
    <row r="446" s="4" customFormat="1" ht="12.75" customHeight="1"/>
    <row r="447" s="4" customFormat="1" ht="12.75" customHeight="1"/>
    <row r="448" s="4" customFormat="1" ht="12.75" customHeight="1"/>
    <row r="449" s="4" customFormat="1" ht="12.75" customHeight="1"/>
    <row r="450" s="4" customFormat="1" ht="12.75" customHeight="1"/>
    <row r="451" s="4" customFormat="1" ht="12.75" customHeight="1"/>
    <row r="452" s="4" customFormat="1" ht="12.75" customHeight="1"/>
    <row r="453" s="4" customFormat="1" ht="12.75" customHeight="1"/>
    <row r="454" s="4" customFormat="1" ht="12.75" customHeight="1"/>
    <row r="455" s="4" customFormat="1" ht="12.75" customHeight="1"/>
    <row r="456" s="4" customFormat="1" ht="12.75" customHeight="1"/>
    <row r="457" s="4" customFormat="1" ht="12.75" customHeight="1"/>
    <row r="458" s="4" customFormat="1" ht="12.75" customHeight="1"/>
    <row r="459" s="4" customFormat="1" ht="12.75" customHeight="1"/>
    <row r="460" s="4" customFormat="1" ht="12.75" customHeight="1"/>
    <row r="461" s="4" customFormat="1" ht="12.75" customHeight="1"/>
    <row r="462" s="4" customFormat="1" ht="12.75" customHeight="1"/>
    <row r="463" s="4" customFormat="1" ht="12.75" customHeight="1"/>
    <row r="464" s="4" customFormat="1" ht="12.75" customHeight="1"/>
    <row r="465" s="4" customFormat="1" ht="12.75" customHeight="1"/>
    <row r="466" s="4" customFormat="1" ht="12.75" customHeight="1"/>
    <row r="467" s="4" customFormat="1" ht="12.75" customHeight="1"/>
    <row r="468" s="4" customFormat="1" ht="12.75" customHeight="1"/>
    <row r="469" s="4" customFormat="1" ht="12.75" customHeight="1"/>
    <row r="470" s="4" customFormat="1" ht="12.75" customHeight="1"/>
    <row r="471" s="4" customFormat="1" ht="12.75" customHeight="1"/>
    <row r="472" s="4" customFormat="1" ht="12.75" customHeight="1"/>
    <row r="473" s="4" customFormat="1" ht="12.75" customHeight="1"/>
    <row r="474" s="4" customFormat="1" ht="12.75" customHeight="1"/>
    <row r="475" s="4" customFormat="1" ht="12.75" customHeight="1"/>
    <row r="476" s="4" customFormat="1" ht="12.75" customHeight="1"/>
    <row r="477" s="4" customFormat="1" ht="12.75" customHeight="1"/>
    <row r="478" s="4" customFormat="1" ht="12.75" customHeight="1"/>
    <row r="479" s="4" customFormat="1" ht="12.75" customHeight="1"/>
    <row r="480" s="4" customFormat="1" ht="12.75" customHeight="1"/>
    <row r="481" s="4" customFormat="1" ht="12.75" customHeight="1"/>
    <row r="482" s="4" customFormat="1" ht="12.75" customHeight="1"/>
    <row r="483" s="4" customFormat="1" ht="12.75" customHeight="1"/>
    <row r="484" s="4" customFormat="1" ht="12.75" customHeight="1"/>
    <row r="485" s="4" customFormat="1" ht="12.75" customHeight="1"/>
    <row r="486" s="4" customFormat="1" ht="12.75" customHeight="1"/>
    <row r="487" s="4" customFormat="1" ht="12.75" customHeight="1"/>
    <row r="488" s="4" customFormat="1" ht="12.75" customHeight="1"/>
    <row r="489" s="4" customFormat="1" ht="12.75" customHeight="1"/>
    <row r="490" s="4" customFormat="1" ht="12.75" customHeight="1"/>
    <row r="491" s="4" customFormat="1" ht="12.75" customHeight="1"/>
    <row r="492" s="4" customFormat="1" ht="12.75" customHeight="1"/>
    <row r="493" s="4" customFormat="1" ht="12.75" customHeight="1"/>
    <row r="494" s="4" customFormat="1" ht="12.75" customHeight="1"/>
    <row r="495" s="4" customFormat="1" ht="12.75" customHeight="1"/>
    <row r="496" s="4" customFormat="1" ht="12.75" customHeight="1"/>
    <row r="497" s="4" customFormat="1" ht="12.75" customHeight="1"/>
    <row r="498" s="4" customFormat="1" ht="12.75" customHeight="1"/>
    <row r="499" s="4" customFormat="1" ht="12.75" customHeight="1"/>
    <row r="500" s="4" customFormat="1" ht="12.75" customHeight="1"/>
    <row r="501" s="4" customFormat="1" ht="12.75" customHeight="1"/>
    <row r="502" s="4" customFormat="1" ht="12.75" customHeight="1"/>
    <row r="503" s="4" customFormat="1" ht="12.75" customHeight="1"/>
    <row r="504" s="4" customFormat="1" ht="12.75" customHeight="1"/>
    <row r="505" s="4" customFormat="1" ht="12.75" customHeight="1"/>
    <row r="506" s="4" customFormat="1" ht="12.75" customHeight="1"/>
    <row r="507" s="4" customFormat="1" ht="12.75" customHeight="1"/>
    <row r="508" s="4" customFormat="1" ht="12.75" customHeight="1"/>
    <row r="509" s="4" customFormat="1" ht="12.75" customHeight="1"/>
    <row r="510" s="4" customFormat="1" ht="12.75" customHeight="1"/>
    <row r="511" s="4" customFormat="1" ht="12.75" customHeight="1"/>
    <row r="512" s="4" customFormat="1" ht="12.75" customHeight="1"/>
    <row r="513" s="4" customFormat="1" ht="12.75" customHeight="1"/>
    <row r="514" s="4" customFormat="1" ht="12.75" customHeight="1"/>
    <row r="515" s="4" customFormat="1" ht="12.75" customHeight="1"/>
    <row r="516" s="4" customFormat="1" ht="12.75" customHeight="1"/>
    <row r="517" s="4" customFormat="1" ht="12.75" customHeight="1"/>
    <row r="518" s="4" customFormat="1" ht="12.75" customHeight="1"/>
    <row r="519" s="4" customFormat="1" ht="12.75" customHeight="1"/>
    <row r="520" s="4" customFormat="1" ht="12.75" customHeight="1"/>
    <row r="521" s="4" customFormat="1" ht="12.75" customHeight="1"/>
    <row r="522" s="4" customFormat="1" ht="12.75" customHeight="1"/>
    <row r="523" s="4" customFormat="1" ht="12.75" customHeight="1"/>
    <row r="524" s="4" customFormat="1" ht="12.75" customHeight="1"/>
    <row r="525" s="4" customFormat="1" ht="12.75" customHeight="1"/>
    <row r="526" s="4" customFormat="1" ht="12.75" customHeight="1"/>
    <row r="527" s="4" customFormat="1" ht="12.75" customHeight="1"/>
    <row r="528" s="4" customFormat="1" ht="12.75" customHeight="1"/>
    <row r="529" s="4" customFormat="1" ht="12.75" customHeight="1"/>
    <row r="530" s="4" customFormat="1" ht="12.75" customHeight="1"/>
    <row r="531" s="4" customFormat="1" ht="12.75" customHeight="1"/>
    <row r="532" s="4" customFormat="1" ht="12.75" customHeight="1"/>
    <row r="533" s="4" customFormat="1" ht="12.75" customHeight="1"/>
    <row r="534" s="4" customFormat="1" ht="12.75" customHeight="1"/>
    <row r="535" s="4" customFormat="1" ht="12.75" customHeight="1"/>
    <row r="536" s="4" customFormat="1" ht="12.75" customHeight="1"/>
    <row r="537" s="4" customFormat="1" ht="12.75" customHeight="1"/>
    <row r="538" s="4" customFormat="1" ht="12.75" customHeight="1"/>
    <row r="539" s="4" customFormat="1" ht="12.75" customHeight="1"/>
    <row r="540" s="4" customFormat="1" ht="12.75" customHeight="1"/>
    <row r="541" s="4" customFormat="1" ht="12.75" customHeight="1"/>
    <row r="542" s="4" customFormat="1" ht="12.75" customHeight="1"/>
    <row r="543" s="4" customFormat="1" ht="12.75" customHeight="1"/>
    <row r="544" s="4" customFormat="1" ht="12.75" customHeight="1"/>
    <row r="545" s="4" customFormat="1" ht="12.75" customHeight="1"/>
    <row r="546" s="4" customFormat="1" ht="12.75" customHeight="1"/>
    <row r="547" s="4" customFormat="1" ht="12.75" customHeight="1"/>
    <row r="548" s="4" customFormat="1" ht="12.75" customHeight="1"/>
    <row r="549" s="4" customFormat="1" ht="12.75" customHeight="1"/>
    <row r="550" s="4" customFormat="1" ht="12.75" customHeight="1"/>
    <row r="551" s="4" customFormat="1" ht="12.75" customHeight="1"/>
    <row r="552" s="4" customFormat="1" ht="12.75" customHeight="1"/>
    <row r="553" s="4" customFormat="1" ht="12.75" customHeight="1"/>
    <row r="554" s="4" customFormat="1" ht="12.75" customHeight="1"/>
    <row r="555" s="4" customFormat="1" ht="12.75" customHeight="1"/>
    <row r="556" s="4" customFormat="1" ht="12.75" customHeight="1"/>
    <row r="557" s="4" customFormat="1" ht="12.75" customHeight="1"/>
    <row r="558" s="4" customFormat="1" ht="12.75" customHeight="1"/>
    <row r="559" s="4" customFormat="1" ht="12.75" customHeight="1"/>
    <row r="560" s="4" customFormat="1" ht="12.75" customHeight="1"/>
    <row r="561" s="4" customFormat="1" ht="12.75" customHeight="1"/>
    <row r="562" s="4" customFormat="1" ht="12.75" customHeight="1"/>
    <row r="563" s="4" customFormat="1" ht="12.75" customHeight="1"/>
    <row r="564" s="4" customFormat="1" ht="12.75" customHeight="1"/>
    <row r="565" s="4" customFormat="1" ht="12.75" customHeight="1"/>
    <row r="566" s="4" customFormat="1" ht="12.75" customHeight="1"/>
    <row r="567" s="4" customFormat="1" ht="12.75" customHeight="1"/>
    <row r="568" s="4" customFormat="1" ht="12.75" customHeight="1"/>
    <row r="569" s="4" customFormat="1" ht="12.75" customHeight="1"/>
    <row r="570" s="4" customFormat="1" ht="12.75" customHeight="1"/>
    <row r="571" s="4" customFormat="1" ht="12.75" customHeight="1"/>
    <row r="572" s="4" customFormat="1" ht="12.75" customHeight="1"/>
    <row r="573" s="4" customFormat="1" ht="12.75" customHeight="1"/>
    <row r="574" s="4" customFormat="1" ht="12.75" customHeight="1"/>
    <row r="575" s="4" customFormat="1" ht="12.75" customHeight="1"/>
    <row r="576" s="4" customFormat="1" ht="12.75" customHeight="1"/>
    <row r="577" s="4" customFormat="1" ht="12.75" customHeight="1"/>
    <row r="578" s="4" customFormat="1" ht="12.75" customHeight="1"/>
    <row r="579" s="4" customFormat="1" ht="12.75" customHeight="1"/>
    <row r="580" s="4" customFormat="1" ht="12.75" customHeight="1"/>
    <row r="581" s="4" customFormat="1" ht="12.75" customHeight="1"/>
    <row r="582" s="4" customFormat="1" ht="12.75" customHeight="1"/>
    <row r="583" s="4" customFormat="1" ht="12.75" customHeight="1"/>
    <row r="584" s="4" customFormat="1" ht="12.75" customHeight="1"/>
    <row r="585" s="4" customFormat="1" ht="12.75" customHeight="1"/>
    <row r="586" s="4" customFormat="1" ht="12.75" customHeight="1"/>
    <row r="587" s="4" customFormat="1" ht="12.75" customHeight="1"/>
    <row r="588" s="4" customFormat="1" ht="12.75" customHeight="1"/>
    <row r="589" s="4" customFormat="1" ht="12.75" customHeight="1"/>
    <row r="590" s="4" customFormat="1" ht="12.75" customHeight="1"/>
    <row r="591" s="4" customFormat="1" ht="12.75" customHeight="1"/>
    <row r="592" s="4" customFormat="1" ht="12.75" customHeight="1"/>
    <row r="593" s="4" customFormat="1" ht="12.75" customHeight="1"/>
    <row r="594" s="4" customFormat="1" ht="12.75" customHeight="1"/>
    <row r="595" s="4" customFormat="1" ht="12.75" customHeight="1"/>
    <row r="596" s="4" customFormat="1" ht="12.75" customHeight="1"/>
    <row r="597" s="4" customFormat="1" ht="12.75" customHeight="1"/>
    <row r="598" s="4" customFormat="1" ht="12.75" customHeight="1"/>
    <row r="599" s="4" customFormat="1" ht="12.75" customHeight="1"/>
    <row r="600" s="4" customFormat="1" ht="12.75" customHeight="1"/>
    <row r="601" s="4" customFormat="1" ht="12.75" customHeight="1"/>
    <row r="602" s="4" customFormat="1" ht="12.75" customHeight="1"/>
    <row r="603" s="4" customFormat="1" ht="12.75" customHeight="1"/>
    <row r="604" s="4" customFormat="1" ht="12.75" customHeight="1"/>
    <row r="605" s="4" customFormat="1" ht="12.75" customHeight="1"/>
    <row r="606" s="4" customFormat="1" ht="12.75" customHeight="1"/>
    <row r="607" s="4" customFormat="1" ht="12.75" customHeight="1"/>
    <row r="608" s="4" customFormat="1" ht="12.75" customHeight="1"/>
    <row r="609" s="4" customFormat="1" ht="12.75" customHeight="1"/>
    <row r="610" s="4" customFormat="1" ht="12.75" customHeight="1"/>
    <row r="611" s="4" customFormat="1" ht="12.75" customHeight="1"/>
    <row r="612" s="4" customFormat="1" ht="12.75" customHeight="1"/>
    <row r="613" s="4" customFormat="1" ht="12.75" customHeight="1"/>
    <row r="614" s="4" customFormat="1" ht="12.75" customHeight="1"/>
    <row r="615" s="4" customFormat="1" ht="12.75" customHeight="1"/>
    <row r="616" s="4" customFormat="1" ht="12.75" customHeight="1"/>
    <row r="617" s="4" customFormat="1" ht="12.75" customHeight="1"/>
    <row r="618" s="4" customFormat="1" ht="12.75" customHeight="1"/>
    <row r="619" s="4" customFormat="1" ht="12.75" customHeight="1"/>
    <row r="620" s="4" customFormat="1" ht="12.75" customHeight="1"/>
    <row r="621" s="4" customFormat="1" ht="12.75" customHeight="1"/>
    <row r="622" s="4" customFormat="1" ht="12.75" customHeight="1"/>
    <row r="623" s="4" customFormat="1" ht="12.75" customHeight="1"/>
    <row r="624" s="4" customFormat="1" ht="12.75" customHeight="1"/>
    <row r="625" s="4" customFormat="1" ht="12.75" customHeight="1"/>
    <row r="626" s="4" customFormat="1" ht="12.75" customHeight="1"/>
    <row r="627" s="4" customFormat="1" ht="12.75" customHeight="1"/>
    <row r="628" s="4" customFormat="1" ht="12.75" customHeight="1"/>
    <row r="629" s="4" customFormat="1" ht="12.75" customHeight="1"/>
    <row r="630" s="4" customFormat="1" ht="12.75" customHeight="1"/>
    <row r="631" s="4" customFormat="1" ht="12.75" customHeight="1"/>
    <row r="632" s="4" customFormat="1" ht="12.75" customHeight="1"/>
    <row r="633" s="4" customFormat="1" ht="12.75" customHeight="1"/>
    <row r="634" s="4" customFormat="1" ht="12.75" customHeight="1"/>
    <row r="635" s="4" customFormat="1" ht="12.75" customHeight="1"/>
    <row r="636" s="4" customFormat="1" ht="12.75" customHeight="1"/>
    <row r="637" s="4" customFormat="1" ht="12.75" customHeight="1"/>
    <row r="638" s="4" customFormat="1" ht="12.75" customHeight="1"/>
    <row r="639" s="4" customFormat="1" ht="12.75" customHeight="1"/>
    <row r="640" s="4" customFormat="1" ht="12.75" customHeight="1"/>
    <row r="641" s="4" customFormat="1" ht="12.75" customHeight="1"/>
    <row r="642" s="4" customFormat="1" ht="12.75" customHeight="1"/>
    <row r="643" s="4" customFormat="1" ht="12.75" customHeight="1"/>
    <row r="644" s="4" customFormat="1" ht="12.75" customHeight="1"/>
    <row r="645" s="4" customFormat="1" ht="12.75" customHeight="1"/>
    <row r="646" s="4" customFormat="1" ht="12.75" customHeight="1"/>
    <row r="647" s="4" customFormat="1" ht="12.75" customHeight="1"/>
    <row r="648" s="4" customFormat="1" ht="12.75" customHeight="1"/>
    <row r="649" s="4" customFormat="1" ht="12.75" customHeight="1"/>
    <row r="650" s="4" customFormat="1" ht="12.75" customHeight="1"/>
    <row r="651" s="4" customFormat="1" ht="12.75" customHeight="1"/>
    <row r="652" s="4" customFormat="1" ht="12.75" customHeight="1"/>
    <row r="653" s="4" customFormat="1" ht="12.75" customHeight="1"/>
    <row r="654" s="4" customFormat="1" ht="12.75" customHeight="1"/>
    <row r="655" s="4" customFormat="1" ht="12.75" customHeight="1"/>
    <row r="656" s="4" customFormat="1" ht="12.75" customHeight="1"/>
    <row r="657" s="4" customFormat="1" ht="12.75" customHeight="1"/>
    <row r="658" s="4" customFormat="1" ht="12.75" customHeight="1"/>
    <row r="659" s="4" customFormat="1" ht="12.75" customHeight="1"/>
    <row r="660" s="4" customFormat="1" ht="12.75" customHeight="1"/>
    <row r="661" s="4" customFormat="1" ht="12.75" customHeight="1"/>
    <row r="662" s="4" customFormat="1" ht="12.75" customHeight="1"/>
    <row r="663" s="4" customFormat="1" ht="12.75" customHeight="1"/>
    <row r="664" s="4" customFormat="1" ht="12.75" customHeight="1"/>
    <row r="665" s="4" customFormat="1" ht="12.75" customHeight="1"/>
    <row r="666" s="4" customFormat="1" ht="12.75" customHeight="1"/>
    <row r="667" s="4" customFormat="1" ht="12.75" customHeight="1"/>
    <row r="668" s="4" customFormat="1" ht="12.75" customHeight="1"/>
    <row r="669" s="4" customFormat="1" ht="12.75" customHeight="1"/>
    <row r="670" s="4" customFormat="1" ht="12.75" customHeight="1"/>
    <row r="671" s="4" customFormat="1" ht="12.75" customHeight="1"/>
    <row r="672" s="4" customFormat="1" ht="12.75" customHeight="1"/>
    <row r="673" s="4" customFormat="1" ht="12.75" customHeight="1"/>
    <row r="674" s="4" customFormat="1" ht="12.75" customHeight="1"/>
    <row r="675" s="4" customFormat="1" ht="12.75" customHeight="1"/>
    <row r="676" s="4" customFormat="1" ht="12.75" customHeight="1"/>
    <row r="677" s="4" customFormat="1" ht="12.75" customHeight="1"/>
    <row r="678" s="4" customFormat="1" ht="12.75" customHeight="1"/>
    <row r="679" s="4" customFormat="1" ht="12.75" customHeight="1"/>
    <row r="680" s="4" customFormat="1" ht="12.75" customHeight="1"/>
    <row r="681" s="4" customFormat="1" ht="12.75" customHeight="1"/>
    <row r="682" s="4" customFormat="1" ht="12.75" customHeight="1"/>
    <row r="683" s="4" customFormat="1" ht="12.75" customHeight="1"/>
    <row r="684" s="4" customFormat="1" ht="12.75" customHeight="1"/>
    <row r="685" s="4" customFormat="1" ht="12.75" customHeight="1"/>
    <row r="686" s="4" customFormat="1" ht="12.75" customHeight="1"/>
    <row r="687" s="4" customFormat="1" ht="12.75" customHeight="1"/>
    <row r="688" s="4" customFormat="1" ht="12.75" customHeight="1"/>
    <row r="689" s="4" customFormat="1" ht="12.75" customHeight="1"/>
    <row r="690" s="4" customFormat="1" ht="12.75" customHeight="1"/>
    <row r="691" s="4" customFormat="1" ht="12.75" customHeight="1"/>
    <row r="692" s="4" customFormat="1" ht="12.75" customHeight="1"/>
    <row r="693" s="4" customFormat="1" ht="12.75" customHeight="1"/>
    <row r="694" s="4" customFormat="1" ht="12.75" customHeight="1"/>
    <row r="695" s="4" customFormat="1" ht="12.75" customHeight="1"/>
    <row r="696" s="4" customFormat="1" ht="12.75" customHeight="1"/>
    <row r="697" s="4" customFormat="1" ht="12.75" customHeight="1"/>
    <row r="698" s="4" customFormat="1" ht="12.75" customHeight="1"/>
    <row r="699" s="4" customFormat="1" ht="12.75" customHeight="1"/>
    <row r="700" s="4" customFormat="1" ht="12.75" customHeight="1"/>
    <row r="701" s="4" customFormat="1" ht="12.75" customHeight="1"/>
    <row r="702" s="4" customFormat="1" ht="12.75" customHeight="1"/>
    <row r="703" s="4" customFormat="1" ht="12.75" customHeight="1"/>
    <row r="704" s="4" customFormat="1" ht="12.75" customHeight="1"/>
    <row r="705" s="4" customFormat="1" ht="12.75" customHeight="1"/>
    <row r="706" s="4" customFormat="1" ht="12.75" customHeight="1"/>
    <row r="707" s="4" customFormat="1" ht="12.75" customHeight="1"/>
    <row r="708" s="4" customFormat="1" ht="12.75" customHeight="1"/>
    <row r="709" s="4" customFormat="1" ht="12.75" customHeight="1"/>
    <row r="710" s="4" customFormat="1" ht="12.75" customHeight="1"/>
    <row r="711" s="4" customFormat="1" ht="12.75" customHeight="1"/>
    <row r="712" s="4" customFormat="1" ht="12.75" customHeight="1"/>
    <row r="713" s="4" customFormat="1" ht="12.75" customHeight="1"/>
    <row r="714" s="4" customFormat="1" ht="12.75" customHeight="1"/>
    <row r="715" s="4" customFormat="1" ht="12.75" customHeight="1"/>
    <row r="716" s="4" customFormat="1" ht="12.75" customHeight="1"/>
    <row r="717" s="4" customFormat="1" ht="12.75" customHeight="1"/>
    <row r="718" s="4" customFormat="1" ht="12.75" customHeight="1"/>
    <row r="719" s="4" customFormat="1" ht="12.75" customHeight="1"/>
    <row r="720" s="4" customFormat="1" ht="12.75" customHeight="1"/>
    <row r="721" s="4" customFormat="1" ht="12.75" customHeight="1"/>
    <row r="722" s="4" customFormat="1" ht="12.75" customHeight="1"/>
    <row r="723" s="4" customFormat="1" ht="12.75" customHeight="1"/>
    <row r="724" s="4" customFormat="1" ht="12.75" customHeight="1"/>
    <row r="725" s="4" customFormat="1" ht="12.75" customHeight="1"/>
    <row r="726" s="4" customFormat="1" ht="12.75" customHeight="1"/>
    <row r="727" s="4" customFormat="1" ht="12.75" customHeight="1"/>
    <row r="728" s="4" customFormat="1" ht="12.75" customHeight="1"/>
    <row r="729" s="4" customFormat="1" ht="12.75" customHeight="1"/>
    <row r="730" s="4" customFormat="1" ht="12.75" customHeight="1"/>
    <row r="731" s="4" customFormat="1" ht="12.75" customHeight="1"/>
    <row r="732" s="4" customFormat="1" ht="12.75" customHeight="1"/>
    <row r="733" s="4" customFormat="1" ht="12.75" customHeight="1"/>
    <row r="734" s="4" customFormat="1" ht="12.75" customHeight="1"/>
    <row r="735" s="4" customFormat="1" ht="12.75" customHeight="1"/>
    <row r="736" s="4" customFormat="1" ht="12.75" customHeight="1"/>
    <row r="737" s="4" customFormat="1" ht="12.75" customHeight="1"/>
    <row r="738" s="4" customFormat="1" ht="12.75" customHeight="1"/>
    <row r="739" s="4" customFormat="1" ht="12.75" customHeight="1"/>
    <row r="740" s="4" customFormat="1" ht="12.75" customHeight="1"/>
    <row r="741" s="4" customFormat="1" ht="12.75" customHeight="1"/>
    <row r="742" s="4" customFormat="1" ht="12.75" customHeight="1"/>
    <row r="743" s="4" customFormat="1" ht="12.75" customHeight="1"/>
    <row r="744" s="4" customFormat="1" ht="12.75" customHeight="1"/>
    <row r="745" s="4" customFormat="1" ht="12.75" customHeight="1"/>
    <row r="746" s="4" customFormat="1" ht="12.75" customHeight="1"/>
    <row r="747" s="4" customFormat="1" ht="12.75" customHeight="1"/>
    <row r="748" s="4" customFormat="1" ht="12.75" customHeight="1"/>
    <row r="749" s="4" customFormat="1" ht="12.75" customHeight="1"/>
    <row r="750" s="4" customFormat="1" ht="12.75" customHeight="1"/>
    <row r="751" s="4" customFormat="1" ht="12.75" customHeight="1"/>
    <row r="752" s="4" customFormat="1" ht="12.75" customHeight="1"/>
    <row r="753" s="4" customFormat="1" ht="12.75" customHeight="1"/>
    <row r="754" s="4" customFormat="1" ht="12.75" customHeight="1"/>
    <row r="755" s="4" customFormat="1" ht="12.75" customHeight="1"/>
    <row r="756" s="4" customFormat="1" ht="12.75" customHeight="1"/>
    <row r="757" s="4" customFormat="1" ht="12.75" customHeight="1"/>
    <row r="758" s="4" customFormat="1" ht="12.75" customHeight="1"/>
    <row r="759" s="4" customFormat="1" ht="12.75" customHeight="1"/>
    <row r="760" s="4" customFormat="1" ht="12.75" customHeight="1"/>
    <row r="761" s="4" customFormat="1" ht="12.75" customHeight="1"/>
    <row r="762" s="4" customFormat="1" ht="12.75" customHeight="1"/>
    <row r="763" s="4" customFormat="1" ht="12.75" customHeight="1"/>
    <row r="764" s="4" customFormat="1" ht="12.75" customHeight="1"/>
    <row r="765" s="4" customFormat="1" ht="12.75" customHeight="1"/>
    <row r="766" s="4" customFormat="1" ht="12.75" customHeight="1"/>
    <row r="767" s="4" customFormat="1" ht="12.75" customHeight="1"/>
    <row r="768" s="4" customFormat="1" ht="12.75" customHeight="1"/>
    <row r="769" s="4" customFormat="1" ht="12.75" customHeight="1"/>
    <row r="770" s="4" customFormat="1" ht="12.75" customHeight="1"/>
    <row r="771" s="4" customFormat="1" ht="12.75" customHeight="1"/>
    <row r="772" s="4" customFormat="1" ht="12.75" customHeight="1"/>
    <row r="773" s="4" customFormat="1" ht="12.75" customHeight="1"/>
    <row r="774" s="4" customFormat="1" ht="12.75" customHeight="1"/>
    <row r="775" s="4" customFormat="1" ht="12.75" customHeight="1"/>
    <row r="776" s="4" customFormat="1" ht="12.75" customHeight="1"/>
    <row r="777" s="4" customFormat="1" ht="12.75" customHeight="1"/>
    <row r="778" s="4" customFormat="1" ht="12.75" customHeight="1"/>
    <row r="779" s="4" customFormat="1" ht="12.75" customHeight="1"/>
    <row r="780" s="4" customFormat="1" ht="12.75" customHeight="1"/>
    <row r="781" s="4" customFormat="1" ht="12.75" customHeight="1"/>
    <row r="782" s="4" customFormat="1" ht="12.75" customHeight="1"/>
    <row r="783" s="4" customFormat="1" ht="12.75" customHeight="1"/>
    <row r="784" s="4" customFormat="1" ht="12.75" customHeight="1"/>
    <row r="785" s="4" customFormat="1" ht="12.75" customHeight="1"/>
    <row r="786" s="4" customFormat="1" ht="12.75" customHeight="1"/>
    <row r="787" s="4" customFormat="1" ht="12.75" customHeight="1"/>
    <row r="788" s="4" customFormat="1" ht="12.75" customHeight="1"/>
    <row r="789" s="4" customFormat="1" ht="12.75" customHeight="1"/>
    <row r="790" s="4" customFormat="1" ht="12.75" customHeight="1"/>
    <row r="791" s="4" customFormat="1" ht="12.75" customHeight="1"/>
    <row r="792" s="4" customFormat="1" ht="12.75" customHeight="1"/>
    <row r="793" s="4" customFormat="1" ht="12.75" customHeight="1"/>
    <row r="794" s="4" customFormat="1" ht="12.75" customHeight="1"/>
    <row r="795" s="4" customFormat="1" ht="12.75" customHeight="1"/>
    <row r="796" s="4" customFormat="1" ht="12.75" customHeight="1"/>
    <row r="797" s="4" customFormat="1" ht="12.75" customHeight="1"/>
    <row r="798" s="4" customFormat="1" ht="12.75" customHeight="1"/>
    <row r="799" s="4" customFormat="1" ht="12.75" customHeight="1"/>
    <row r="800" s="4" customFormat="1" ht="12.75" customHeight="1"/>
    <row r="801" s="4" customFormat="1" ht="12.75" customHeight="1"/>
    <row r="802" s="4" customFormat="1" ht="12.75" customHeight="1"/>
    <row r="803" s="4" customFormat="1" ht="12.75" customHeight="1"/>
    <row r="804" s="4" customFormat="1" ht="12.75" customHeight="1"/>
    <row r="805" s="4" customFormat="1" ht="12.75" customHeight="1"/>
    <row r="806" s="4" customFormat="1" ht="12.75" customHeight="1"/>
    <row r="807" s="4" customFormat="1" ht="12.75" customHeight="1"/>
    <row r="808" s="4" customFormat="1" ht="12.75" customHeight="1"/>
    <row r="809" s="4" customFormat="1" ht="12.75" customHeight="1"/>
    <row r="810" s="4" customFormat="1" ht="12.75" customHeight="1"/>
    <row r="811" s="4" customFormat="1" ht="12.75" customHeight="1"/>
    <row r="812" s="4" customFormat="1" ht="12.75" customHeight="1"/>
    <row r="813" s="4" customFormat="1" ht="12.75" customHeight="1"/>
    <row r="814" s="4" customFormat="1" ht="12.75" customHeight="1"/>
    <row r="815" s="4" customFormat="1" ht="12.75" customHeight="1"/>
    <row r="816" s="4" customFormat="1" ht="12.75" customHeight="1"/>
    <row r="817" s="4" customFormat="1" ht="12.75" customHeight="1"/>
    <row r="818" s="4" customFormat="1" ht="12.75" customHeight="1"/>
    <row r="819" s="4" customFormat="1" ht="12.75" customHeight="1"/>
    <row r="820" s="4" customFormat="1" ht="12.75" customHeight="1"/>
    <row r="821" s="4" customFormat="1" ht="12.75" customHeight="1"/>
    <row r="822" s="4" customFormat="1" ht="12.75" customHeight="1"/>
    <row r="823" s="4" customFormat="1" ht="12.75" customHeight="1"/>
    <row r="824" s="4" customFormat="1" ht="12.75" customHeight="1"/>
    <row r="825" s="4" customFormat="1" ht="12.75" customHeight="1"/>
    <row r="826" s="4" customFormat="1" ht="12.75" customHeight="1"/>
    <row r="827" s="4" customFormat="1" ht="12.75" customHeight="1"/>
    <row r="828" s="4" customFormat="1" ht="12.75" customHeight="1"/>
    <row r="829" s="4" customFormat="1" ht="12.75" customHeight="1"/>
    <row r="830" s="4" customFormat="1" ht="12.75" customHeight="1"/>
    <row r="831" s="4" customFormat="1" ht="12.75" customHeight="1"/>
    <row r="832" s="4" customFormat="1" ht="12.75" customHeight="1"/>
    <row r="833" s="4" customFormat="1" ht="12.75" customHeight="1"/>
    <row r="834" s="4" customFormat="1" ht="12.75" customHeight="1"/>
    <row r="835" s="4" customFormat="1" ht="12.75" customHeight="1"/>
    <row r="836" s="4" customFormat="1" ht="12.75" customHeight="1"/>
    <row r="837" s="4" customFormat="1" ht="12.75" customHeight="1"/>
    <row r="838" s="4" customFormat="1" ht="12.75" customHeight="1"/>
    <row r="839" s="4" customFormat="1" ht="12.75" customHeight="1"/>
    <row r="840" s="4" customFormat="1" ht="12.75" customHeight="1"/>
    <row r="841" s="4" customFormat="1" ht="12.75" customHeight="1"/>
    <row r="842" s="4" customFormat="1" ht="12.75" customHeight="1"/>
    <row r="843" s="4" customFormat="1" ht="12.75" customHeight="1"/>
    <row r="844" s="4" customFormat="1" ht="12.75" customHeight="1"/>
    <row r="845" s="4" customFormat="1" ht="12.75" customHeight="1"/>
    <row r="846" s="4" customFormat="1" ht="12.75" customHeight="1"/>
    <row r="847" s="4" customFormat="1" ht="12.75" customHeight="1"/>
    <row r="848" s="4" customFormat="1" ht="12.75" customHeight="1"/>
    <row r="849" s="4" customFormat="1" ht="12.75" customHeight="1"/>
    <row r="850" s="4" customFormat="1" ht="12.75" customHeight="1"/>
    <row r="851" s="4" customFormat="1" ht="12.75" customHeight="1"/>
    <row r="852" s="4" customFormat="1" ht="12.75" customHeight="1"/>
    <row r="853" s="4" customFormat="1" ht="12.75" customHeight="1"/>
    <row r="854" s="4" customFormat="1" ht="12.75" customHeight="1"/>
    <row r="855" s="4" customFormat="1" ht="12.75" customHeight="1"/>
    <row r="856" s="4" customFormat="1" ht="12.75" customHeight="1"/>
    <row r="857" s="4" customFormat="1" ht="12.75" customHeight="1"/>
    <row r="858" s="4" customFormat="1" ht="12.75" customHeight="1"/>
    <row r="859" s="4" customFormat="1" ht="12.75" customHeight="1"/>
    <row r="860" s="4" customFormat="1" ht="12.75" customHeight="1"/>
    <row r="861" s="4" customFormat="1" ht="12.75" customHeight="1"/>
    <row r="862" s="4" customFormat="1" ht="12.75" customHeight="1"/>
    <row r="863" s="4" customFormat="1" ht="12.75" customHeight="1"/>
    <row r="864" s="4" customFormat="1" ht="12.75" customHeight="1"/>
    <row r="865" s="4" customFormat="1" ht="12.75" customHeight="1"/>
    <row r="866" s="4" customFormat="1" ht="12.75" customHeight="1"/>
    <row r="867" s="4" customFormat="1" ht="12.75" customHeight="1"/>
    <row r="868" s="4" customFormat="1" ht="12.75" customHeight="1"/>
    <row r="869" s="4" customFormat="1" ht="12.75" customHeight="1"/>
    <row r="870" s="4" customFormat="1" ht="12.75" customHeight="1"/>
    <row r="871" s="4" customFormat="1" ht="12.75" customHeight="1"/>
    <row r="872" s="4" customFormat="1" ht="12.75" customHeight="1"/>
    <row r="873" s="4" customFormat="1" ht="12.75" customHeight="1"/>
    <row r="874" s="4" customFormat="1" ht="12.75" customHeight="1"/>
    <row r="875" s="4" customFormat="1" ht="12.75" customHeight="1"/>
    <row r="876" s="4" customFormat="1" ht="12.75" customHeight="1"/>
    <row r="877" s="4" customFormat="1" ht="12.75" customHeight="1"/>
    <row r="878" s="4" customFormat="1" ht="12.75" customHeight="1"/>
    <row r="879" s="4" customFormat="1" ht="12.75" customHeight="1"/>
    <row r="880" s="4" customFormat="1" ht="12.75" customHeight="1"/>
    <row r="881" s="4" customFormat="1" ht="12.75" customHeight="1"/>
    <row r="882" s="4" customFormat="1" ht="12.75" customHeight="1"/>
    <row r="883" s="4" customFormat="1" ht="12.75" customHeight="1"/>
    <row r="884" s="4" customFormat="1" ht="12.75" customHeight="1"/>
    <row r="885" s="4" customFormat="1" ht="12.75" customHeight="1"/>
    <row r="886" s="4" customFormat="1" ht="12.75" customHeight="1"/>
    <row r="887" s="4" customFormat="1" ht="12.75" customHeight="1"/>
    <row r="888" s="4" customFormat="1" ht="12.75" customHeight="1"/>
    <row r="889" s="4" customFormat="1" ht="12.75" customHeight="1"/>
    <row r="890" s="4" customFormat="1" ht="12.75" customHeight="1"/>
    <row r="891" s="4" customFormat="1" ht="12.75" customHeight="1"/>
    <row r="892" s="4" customFormat="1" ht="12.75" customHeight="1"/>
    <row r="893" s="4" customFormat="1" ht="12.75" customHeight="1"/>
    <row r="894" s="4" customFormat="1" ht="12.75" customHeight="1"/>
    <row r="895" s="4" customFormat="1" ht="12.75" customHeight="1"/>
    <row r="896" s="4" customFormat="1" ht="12.75" customHeight="1"/>
    <row r="897" s="4" customFormat="1" ht="12.75" customHeight="1"/>
    <row r="898" s="4" customFormat="1" ht="12.75" customHeight="1"/>
    <row r="899" s="4" customFormat="1" ht="12.75" customHeight="1"/>
    <row r="900" s="4" customFormat="1" ht="12.75" customHeight="1"/>
    <row r="901" s="4" customFormat="1" ht="12.75" customHeight="1"/>
    <row r="902" s="4" customFormat="1" ht="12.75" customHeight="1"/>
    <row r="903" s="4" customFormat="1" ht="12.75" customHeight="1"/>
    <row r="904" s="4" customFormat="1" ht="12.75" customHeight="1"/>
    <row r="905" s="4" customFormat="1" ht="12.75" customHeight="1"/>
    <row r="906" s="4" customFormat="1" ht="12.75" customHeight="1"/>
    <row r="907" s="4" customFormat="1" ht="12.75" customHeight="1"/>
    <row r="908" s="4" customFormat="1" ht="12.75" customHeight="1"/>
    <row r="909" s="4" customFormat="1" ht="12.75" customHeight="1"/>
    <row r="910" s="4" customFormat="1" ht="12.75" customHeight="1"/>
    <row r="911" s="4" customFormat="1" ht="12.75" customHeight="1"/>
    <row r="912" s="4" customFormat="1" ht="12.75" customHeight="1"/>
    <row r="913" s="4" customFormat="1" ht="12.75" customHeight="1"/>
    <row r="914" s="4" customFormat="1" ht="12.75" customHeight="1"/>
    <row r="915" s="4" customFormat="1" ht="12.75" customHeight="1"/>
    <row r="916" s="4" customFormat="1" ht="12.75" customHeight="1"/>
    <row r="917" s="4" customFormat="1" ht="12.75" customHeight="1"/>
    <row r="918" s="4" customFormat="1" ht="12.75" customHeight="1"/>
    <row r="919" s="4" customFormat="1" ht="12.75" customHeight="1"/>
    <row r="920" s="4" customFormat="1" ht="12.75" customHeight="1"/>
    <row r="921" s="4" customFormat="1" ht="12.75" customHeight="1"/>
    <row r="922" s="4" customFormat="1" ht="12.75" customHeight="1"/>
    <row r="923" s="4" customFormat="1" ht="12.75" customHeight="1"/>
    <row r="924" s="4" customFormat="1" ht="12.75" customHeight="1"/>
    <row r="925" s="4" customFormat="1" ht="12.75" customHeight="1"/>
    <row r="926" s="4" customFormat="1" ht="12.75" customHeight="1"/>
    <row r="927" s="4" customFormat="1" ht="12.75" customHeight="1"/>
    <row r="928" s="4" customFormat="1" ht="12.75" customHeight="1"/>
    <row r="929" s="4" customFormat="1" ht="12.75" customHeight="1"/>
    <row r="930" s="4" customFormat="1" ht="12.75" customHeight="1"/>
    <row r="931" s="4" customFormat="1" ht="12.75" customHeight="1"/>
    <row r="932" s="4" customFormat="1" ht="12.75" customHeight="1"/>
    <row r="933" s="4" customFormat="1" ht="12.75" customHeight="1"/>
    <row r="934" s="4" customFormat="1" ht="12.75" customHeight="1"/>
    <row r="935" s="4" customFormat="1" ht="12.75" customHeight="1"/>
    <row r="936" s="4" customFormat="1" ht="12.75" customHeight="1"/>
    <row r="937" s="4" customFormat="1" ht="12.75" customHeight="1"/>
    <row r="938" s="4" customFormat="1" ht="12.75" customHeight="1"/>
    <row r="939" s="4" customFormat="1" ht="12.75" customHeight="1"/>
    <row r="940" s="4" customFormat="1" ht="12.75" customHeight="1"/>
    <row r="941" s="4" customFormat="1" ht="12.75" customHeight="1"/>
    <row r="942" s="4" customFormat="1" ht="12.75" customHeight="1"/>
    <row r="943" s="4" customFormat="1" ht="12.75" customHeight="1"/>
    <row r="944" s="4" customFormat="1" ht="12.75" customHeight="1"/>
    <row r="945" s="4" customFormat="1" ht="12.75" customHeight="1"/>
    <row r="946" s="4" customFormat="1" ht="12.75" customHeight="1"/>
    <row r="947" s="4" customFormat="1" ht="12.75" customHeight="1"/>
    <row r="948" s="4" customFormat="1" ht="12.75" customHeight="1"/>
    <row r="949" s="4" customFormat="1" ht="12.75" customHeight="1"/>
    <row r="950" s="4" customFormat="1" ht="12.75" customHeight="1"/>
    <row r="951" s="4" customFormat="1" ht="12.75" customHeight="1"/>
    <row r="952" s="4" customFormat="1" ht="12.75" customHeight="1"/>
    <row r="953" s="4" customFormat="1" ht="12.75" customHeight="1"/>
    <row r="954" s="4" customFormat="1" ht="12.75" customHeight="1"/>
    <row r="955" s="4" customFormat="1" ht="12.75" customHeight="1"/>
    <row r="956" s="4" customFormat="1" ht="12.75" customHeight="1"/>
    <row r="957" s="4" customFormat="1" ht="12.75" customHeight="1"/>
    <row r="958" s="4" customFormat="1" ht="12.75" customHeight="1"/>
    <row r="959" s="4" customFormat="1" ht="12.75" customHeight="1"/>
    <row r="960" s="4" customFormat="1" ht="12.75" customHeight="1"/>
    <row r="961" s="4" customFormat="1" ht="12.75" customHeight="1"/>
    <row r="962" s="4" customFormat="1" ht="12.75" customHeight="1"/>
    <row r="963" s="4" customFormat="1" ht="12.75" customHeight="1"/>
    <row r="964" s="4" customFormat="1" ht="12.75" customHeight="1"/>
    <row r="965" s="4" customFormat="1" ht="12.75" customHeight="1"/>
    <row r="966" s="4" customFormat="1" ht="12.75" customHeight="1"/>
    <row r="967" s="4" customFormat="1" ht="12.75" customHeight="1"/>
    <row r="968" s="4" customFormat="1" ht="12.75" customHeight="1"/>
    <row r="969" s="4" customFormat="1" ht="12.75" customHeight="1"/>
    <row r="970" s="4" customFormat="1" ht="12.75" customHeight="1"/>
    <row r="971" s="4" customFormat="1" ht="12.75" customHeight="1"/>
    <row r="972" s="4" customFormat="1" ht="12.75" customHeight="1"/>
    <row r="973" s="4" customFormat="1" ht="12.75" customHeight="1"/>
    <row r="974" s="4" customFormat="1" ht="12.75" customHeight="1"/>
    <row r="975" s="4" customFormat="1" ht="12.75" customHeight="1"/>
    <row r="976" s="4" customFormat="1" ht="12.75" customHeight="1"/>
    <row r="977" s="4" customFormat="1" ht="12.75" customHeight="1"/>
    <row r="978" s="4" customFormat="1" ht="12.75" customHeight="1"/>
    <row r="979" s="4" customFormat="1" ht="12.75" customHeight="1"/>
    <row r="980" s="4" customFormat="1" ht="12.75" customHeight="1"/>
    <row r="981" s="4" customFormat="1" ht="12.75" customHeight="1"/>
    <row r="982" s="4" customFormat="1" ht="12.75" customHeight="1"/>
    <row r="983" s="4" customFormat="1" ht="12.75" customHeight="1"/>
    <row r="984" s="4" customFormat="1" ht="12.75" customHeight="1"/>
    <row r="985" s="4" customFormat="1" ht="12.75" customHeight="1"/>
    <row r="986" s="4" customFormat="1" ht="12.75" customHeight="1"/>
    <row r="987" s="4" customFormat="1" ht="12.75" customHeight="1"/>
    <row r="988" s="4" customFormat="1" ht="12.75" customHeight="1"/>
    <row r="989" s="4" customFormat="1" ht="12.75" customHeight="1"/>
    <row r="990" s="4" customFormat="1" ht="12.75" customHeight="1"/>
    <row r="991" s="4" customFormat="1" ht="12.75" customHeight="1"/>
    <row r="992" s="4" customFormat="1" ht="12.75" customHeight="1"/>
    <row r="993" s="4" customFormat="1" ht="12.75" customHeight="1"/>
    <row r="994" s="4" customFormat="1" ht="12.75" customHeight="1"/>
    <row r="995" s="4" customFormat="1" ht="12.75" customHeight="1"/>
    <row r="996" s="4" customFormat="1" ht="12.75" customHeight="1"/>
    <row r="997" s="4" customFormat="1" ht="12.75" customHeight="1"/>
    <row r="998" s="4" customFormat="1" ht="12.75" customHeight="1"/>
    <row r="999" s="4" customFormat="1" ht="12.75" customHeight="1"/>
    <row r="1000" s="4" customFormat="1" ht="12.75" customHeight="1"/>
    <row r="1001" s="4" customFormat="1" ht="12.75" customHeight="1"/>
    <row r="1002" s="4" customFormat="1" ht="12.75" customHeight="1"/>
    <row r="1003" s="4" customFormat="1" ht="12.75" customHeight="1"/>
    <row r="1004" s="4" customFormat="1" ht="12.75" customHeight="1"/>
    <row r="1005" s="4" customFormat="1" ht="12.75" customHeight="1"/>
    <row r="1006" s="4" customFormat="1" ht="12.75" customHeight="1"/>
    <row r="1007" s="4" customFormat="1" ht="12.75" customHeight="1"/>
    <row r="1008" s="4" customFormat="1" ht="12.75" customHeight="1"/>
    <row r="1009" s="4" customFormat="1" ht="12.75" customHeight="1"/>
    <row r="1010" s="4" customFormat="1" ht="12.75" customHeight="1"/>
    <row r="1011" s="4" customFormat="1" ht="12.75" customHeight="1"/>
    <row r="1012" s="4" customFormat="1" ht="12.75" customHeight="1"/>
    <row r="1013" s="4" customFormat="1" ht="12.75" customHeight="1"/>
    <row r="1014" s="4" customFormat="1" ht="12.75" customHeight="1"/>
    <row r="1015" s="4" customFormat="1" ht="12.75" customHeight="1"/>
    <row r="1016" s="4" customFormat="1" ht="12.75" customHeight="1"/>
    <row r="1017" s="4" customFormat="1" ht="12.75" customHeight="1"/>
    <row r="1018" s="4" customFormat="1" ht="12.75" customHeight="1"/>
    <row r="1019" s="4" customFormat="1" ht="12.75" customHeight="1"/>
    <row r="1020" s="4" customFormat="1" ht="12.75" customHeight="1"/>
    <row r="1021" s="4" customFormat="1" ht="12.75" customHeight="1"/>
    <row r="1022" s="4" customFormat="1" ht="12.75" customHeight="1"/>
    <row r="1023" s="4" customFormat="1" ht="12.75" customHeight="1"/>
    <row r="1024" s="4" customFormat="1" ht="12.75" customHeight="1"/>
    <row r="1025" s="4" customFormat="1" ht="12.75" customHeight="1"/>
    <row r="1026" s="4" customFormat="1" ht="12.75" customHeight="1"/>
    <row r="1027" s="4" customFormat="1" ht="12.75" customHeight="1"/>
    <row r="1028" s="4" customFormat="1" ht="12.75" customHeight="1"/>
    <row r="1029" s="4" customFormat="1" ht="12.75" customHeight="1"/>
    <row r="1030" s="4" customFormat="1" ht="12.75" customHeight="1"/>
    <row r="1031" s="4" customFormat="1" ht="12.75" customHeight="1"/>
    <row r="1032" s="4" customFormat="1" ht="12.75" customHeight="1"/>
    <row r="1033" s="4" customFormat="1" ht="12.75" customHeight="1"/>
    <row r="1034" s="4" customFormat="1" ht="12.75" customHeight="1"/>
    <row r="1035" s="4" customFormat="1" ht="12.75" customHeight="1"/>
    <row r="1036" s="4" customFormat="1" ht="12.75" customHeight="1"/>
    <row r="1037" s="4" customFormat="1" ht="12.75" customHeight="1"/>
    <row r="1038" s="4" customFormat="1" ht="12.75" customHeight="1"/>
    <row r="1039" s="4" customFormat="1" ht="12.75" customHeight="1"/>
    <row r="1040" s="4" customFormat="1" ht="12.75" customHeight="1"/>
    <row r="1041" s="4" customFormat="1" ht="12.75" customHeight="1"/>
    <row r="1042" s="4" customFormat="1" ht="12.75" customHeight="1"/>
    <row r="1043" s="4" customFormat="1" ht="12.75" customHeight="1"/>
    <row r="1044" s="4" customFormat="1" ht="12.75" customHeight="1"/>
    <row r="1045" s="4" customFormat="1" ht="12.75" customHeight="1"/>
    <row r="1046" s="4" customFormat="1" ht="12.75" customHeight="1"/>
    <row r="1047" s="4" customFormat="1" ht="12.75" customHeight="1"/>
    <row r="1048" s="4" customFormat="1" ht="12.75" customHeight="1"/>
    <row r="1049" s="4" customFormat="1" ht="12.75" customHeight="1"/>
    <row r="1050" s="4" customFormat="1" ht="12.75" customHeight="1"/>
    <row r="1051" s="4" customFormat="1" ht="12.75" customHeight="1"/>
    <row r="1052" s="4" customFormat="1" ht="12.75" customHeight="1"/>
    <row r="1053" s="4" customFormat="1" ht="12.75" customHeight="1"/>
    <row r="1054" s="4" customFormat="1" ht="12.75" customHeight="1"/>
    <row r="1055" s="4" customFormat="1" ht="12.75" customHeight="1"/>
    <row r="1056" s="4" customFormat="1" ht="12.75" customHeight="1"/>
    <row r="1057" s="4" customFormat="1" ht="12.75" customHeight="1"/>
    <row r="1058" s="4" customFormat="1" ht="12.75" customHeight="1"/>
    <row r="1059" s="4" customFormat="1" ht="12.75" customHeight="1"/>
    <row r="1060" s="4" customFormat="1" ht="12.75" customHeight="1"/>
    <row r="1061" s="4" customFormat="1" ht="12.75" customHeight="1"/>
    <row r="1062" s="4" customFormat="1" ht="12.75" customHeight="1"/>
    <row r="1063" s="4" customFormat="1" ht="12.75" customHeight="1"/>
    <row r="1064" s="4" customFormat="1" ht="12.75" customHeight="1"/>
    <row r="1065" s="4" customFormat="1" ht="12.75" customHeight="1"/>
    <row r="1066" s="4" customFormat="1" ht="12.75" customHeight="1"/>
    <row r="1067" s="4" customFormat="1" ht="12.75" customHeight="1"/>
    <row r="1068" s="4" customFormat="1" ht="12.75" customHeight="1"/>
    <row r="1069" s="4" customFormat="1" ht="12.75" customHeight="1"/>
    <row r="1070" s="4" customFormat="1" ht="12.75" customHeight="1"/>
    <row r="1071" s="4" customFormat="1" ht="12.75" customHeight="1"/>
    <row r="1072" s="4" customFormat="1" ht="12.75" customHeight="1"/>
    <row r="1073" s="4" customFormat="1" ht="12.75" customHeight="1"/>
    <row r="1074" s="4" customFormat="1" ht="12.75" customHeight="1"/>
    <row r="1075" s="4" customFormat="1" ht="12.75" customHeight="1"/>
    <row r="1076" s="4" customFormat="1" ht="12.75" customHeight="1"/>
    <row r="1077" s="4" customFormat="1" ht="12.75" customHeight="1"/>
    <row r="1078" s="4" customFormat="1" ht="12.75" customHeight="1"/>
    <row r="1079" s="4" customFormat="1" ht="12.75" customHeight="1"/>
    <row r="1080" s="4" customFormat="1" ht="12.75" customHeight="1"/>
    <row r="1081" s="4" customFormat="1" ht="12.75" customHeight="1"/>
    <row r="1082" s="4" customFormat="1" ht="12.75" customHeight="1"/>
    <row r="1083" s="4" customFormat="1" ht="12.75" customHeight="1"/>
    <row r="1084" s="4" customFormat="1" ht="12.75" customHeight="1"/>
    <row r="1085" s="4" customFormat="1" ht="12.75" customHeight="1"/>
    <row r="1086" s="4" customFormat="1" ht="12.75" customHeight="1"/>
    <row r="1087" s="4" customFormat="1" ht="12.75" customHeight="1"/>
    <row r="1088" s="4" customFormat="1" ht="12.75" customHeight="1"/>
    <row r="1089" s="4" customFormat="1" ht="12.75" customHeight="1"/>
    <row r="1090" s="4" customFormat="1" ht="12.75" customHeight="1"/>
    <row r="1091" s="4" customFormat="1" ht="12.75" customHeight="1"/>
    <row r="1092" s="4" customFormat="1" ht="12.75" customHeight="1"/>
    <row r="1093" s="4" customFormat="1" ht="12.75" customHeight="1"/>
    <row r="1094" s="4" customFormat="1" ht="12.75" customHeight="1"/>
    <row r="1095" s="4" customFormat="1" ht="12.75" customHeight="1"/>
    <row r="1096" s="4" customFormat="1" ht="12.75" customHeight="1"/>
    <row r="1097" s="4" customFormat="1" ht="12.75" customHeight="1"/>
    <row r="1098" s="4" customFormat="1" ht="12.75" customHeight="1"/>
    <row r="1099" s="4" customFormat="1" ht="12.75" customHeight="1"/>
    <row r="1100" s="4" customFormat="1" ht="12.75" customHeight="1"/>
    <row r="1101" s="4" customFormat="1" ht="12.75" customHeight="1"/>
    <row r="1102" s="4" customFormat="1" ht="12.75" customHeight="1"/>
    <row r="1103" s="4" customFormat="1" ht="12.75" customHeight="1"/>
    <row r="1104" s="4" customFormat="1" ht="12.75" customHeight="1"/>
    <row r="1105" s="4" customFormat="1" ht="12.75" customHeight="1"/>
    <row r="1106" s="4" customFormat="1" ht="12.75" customHeight="1"/>
    <row r="1107" s="4" customFormat="1" ht="12.75" customHeight="1"/>
    <row r="1108" s="4" customFormat="1" ht="12.75" customHeight="1"/>
    <row r="1109" s="4" customFormat="1" ht="12.75" customHeight="1"/>
    <row r="1110" s="4" customFormat="1" ht="12.75" customHeight="1"/>
    <row r="1111" s="4" customFormat="1" ht="12.75" customHeight="1"/>
    <row r="1112" s="4" customFormat="1" ht="12.75" customHeight="1"/>
    <row r="1113" s="4" customFormat="1" ht="12.75" customHeight="1"/>
    <row r="1114" s="4" customFormat="1" ht="12.75" customHeight="1"/>
    <row r="1115" s="4" customFormat="1" ht="12.75" customHeight="1"/>
    <row r="1116" s="4" customFormat="1" ht="12.75" customHeight="1"/>
    <row r="1117" s="4" customFormat="1" ht="12.75" customHeight="1"/>
    <row r="1118" s="4" customFormat="1" ht="12.75" customHeight="1"/>
    <row r="1119" s="4" customFormat="1" ht="12.75" customHeight="1"/>
    <row r="1120" s="4" customFormat="1" ht="12.75" customHeight="1"/>
    <row r="1121" s="4" customFormat="1" ht="12.75" customHeight="1"/>
    <row r="1122" s="4" customFormat="1" ht="12.75" customHeight="1"/>
    <row r="1123" s="4" customFormat="1" ht="12.75" customHeight="1"/>
    <row r="1124" s="4" customFormat="1" ht="12.75" customHeight="1"/>
    <row r="1125" s="4" customFormat="1" ht="12.75" customHeight="1"/>
    <row r="1126" s="4" customFormat="1" ht="12.75" customHeight="1"/>
    <row r="1127" s="4" customFormat="1" ht="12.75" customHeight="1"/>
    <row r="1128" s="4" customFormat="1" ht="12.75" customHeight="1"/>
    <row r="1129" s="4" customFormat="1" ht="12.75" customHeight="1"/>
    <row r="1130" s="4" customFormat="1" ht="12.75" customHeight="1"/>
    <row r="1131" s="4" customFormat="1" ht="12.75" customHeight="1"/>
    <row r="1132" s="4" customFormat="1" ht="12.75" customHeight="1"/>
    <row r="1133" s="4" customFormat="1" ht="12.75" customHeight="1"/>
    <row r="1134" s="4" customFormat="1" ht="12.75" customHeight="1"/>
    <row r="1135" s="4" customFormat="1" ht="12.75" customHeight="1"/>
    <row r="1136" s="4" customFormat="1" ht="12.75" customHeight="1"/>
    <row r="1137" s="4" customFormat="1" ht="12.75" customHeight="1"/>
    <row r="1138" s="4" customFormat="1" ht="12.75" customHeight="1"/>
    <row r="1139" s="4" customFormat="1" ht="12.75" customHeight="1"/>
    <row r="1140" s="4" customFormat="1" ht="12.75" customHeight="1"/>
    <row r="1141" s="4" customFormat="1" ht="12.75" customHeight="1"/>
    <row r="1142" s="4" customFormat="1" ht="12.75" customHeight="1"/>
    <row r="1143" s="4" customFormat="1" ht="12.75" customHeight="1"/>
    <row r="1144" s="4" customFormat="1" ht="12.75" customHeight="1"/>
    <row r="1145" s="4" customFormat="1" ht="12.75" customHeight="1"/>
    <row r="1146" s="4" customFormat="1" ht="12.75" customHeight="1"/>
    <row r="1147" s="4" customFormat="1" ht="12.75" customHeight="1"/>
    <row r="1148" s="4" customFormat="1" ht="12.75" customHeight="1"/>
    <row r="1149" s="4" customFormat="1" ht="12.75" customHeight="1"/>
    <row r="1150" s="4" customFormat="1" ht="12.75" customHeight="1"/>
    <row r="1151" s="4" customFormat="1" ht="12.75" customHeight="1"/>
    <row r="1152" s="4" customFormat="1" ht="12.75" customHeight="1"/>
    <row r="1153" s="4" customFormat="1" ht="12.75" customHeight="1"/>
    <row r="1154" s="4" customFormat="1" ht="12.75" customHeight="1"/>
    <row r="1155" s="4" customFormat="1" ht="12.75" customHeight="1"/>
    <row r="1156" s="4" customFormat="1" ht="12.75" customHeight="1"/>
    <row r="1157" s="4" customFormat="1" ht="12.75" customHeight="1"/>
    <row r="1158" s="4" customFormat="1" ht="12.75" customHeight="1"/>
    <row r="1159" s="4" customFormat="1" ht="12.75" customHeight="1"/>
    <row r="1160" s="4" customFormat="1" ht="12.75" customHeight="1"/>
    <row r="1161" s="4" customFormat="1" ht="12.75" customHeight="1"/>
    <row r="1162" s="4" customFormat="1" ht="12.75" customHeight="1"/>
    <row r="1163" s="4" customFormat="1" ht="12.75" customHeight="1"/>
    <row r="1164" s="4" customFormat="1" ht="12.75" customHeight="1"/>
    <row r="1165" s="4" customFormat="1" ht="12.75" customHeight="1"/>
    <row r="1166" s="4" customFormat="1" ht="12.75" customHeight="1"/>
    <row r="1167" s="4" customFormat="1" ht="12.75" customHeight="1"/>
    <row r="1168" s="4" customFormat="1" ht="12.75" customHeight="1"/>
    <row r="1169" s="4" customFormat="1" ht="12.75" customHeight="1"/>
    <row r="1170" s="4" customFormat="1" ht="12.75" customHeight="1"/>
    <row r="1171" s="4" customFormat="1" ht="12.75" customHeight="1"/>
    <row r="1172" s="4" customFormat="1" ht="12.75" customHeight="1"/>
    <row r="1173" s="4" customFormat="1" ht="12.75" customHeight="1"/>
    <row r="1174" s="4" customFormat="1" ht="12.75" customHeight="1"/>
    <row r="1175" s="4" customFormat="1" ht="12.75" customHeight="1"/>
    <row r="1176" s="4" customFormat="1" ht="12.75" customHeight="1"/>
    <row r="1177" s="4" customFormat="1" ht="12.75" customHeight="1"/>
    <row r="1178" s="4" customFormat="1" ht="12.75" customHeight="1"/>
    <row r="1179" s="4" customFormat="1" ht="12.75" customHeight="1"/>
    <row r="1180" s="4" customFormat="1" ht="12.75" customHeight="1"/>
    <row r="1181" s="4" customFormat="1" ht="12.75" customHeight="1"/>
    <row r="1182" s="4" customFormat="1" ht="12.75" customHeight="1"/>
    <row r="1183" s="4" customFormat="1" ht="12.75" customHeight="1"/>
    <row r="1184" s="4" customFormat="1" ht="12.75" customHeight="1"/>
    <row r="1185" s="4" customFormat="1" ht="12.75" customHeight="1"/>
    <row r="1186" s="4" customFormat="1" ht="12.75" customHeight="1"/>
    <row r="1187" s="4" customFormat="1" ht="12.75" customHeight="1"/>
    <row r="1188" s="4" customFormat="1" ht="12.75" customHeight="1"/>
    <row r="1189" s="4" customFormat="1" ht="12.75" customHeight="1"/>
    <row r="1190" s="4" customFormat="1" ht="12.75" customHeight="1"/>
    <row r="1191" s="4" customFormat="1" ht="12.75" customHeight="1"/>
    <row r="1192" s="4" customFormat="1" ht="12.75" customHeight="1"/>
    <row r="1193" s="4" customFormat="1" ht="12.75" customHeight="1"/>
    <row r="1194" s="4" customFormat="1" ht="12.75" customHeight="1"/>
    <row r="1195" s="4" customFormat="1" ht="12.75" customHeight="1"/>
    <row r="1196" s="4" customFormat="1" ht="12.75" customHeight="1"/>
    <row r="1197" s="4" customFormat="1" ht="12.75" customHeight="1"/>
    <row r="1198" s="4" customFormat="1" ht="12.75" customHeight="1"/>
    <row r="1199" s="4" customFormat="1" ht="12.75" customHeight="1"/>
    <row r="1200" s="4" customFormat="1" ht="12.75" customHeight="1"/>
    <row r="1201" s="4" customFormat="1" ht="12.75" customHeight="1"/>
    <row r="1202" s="4" customFormat="1" ht="12.75" customHeight="1"/>
    <row r="1203" s="4" customFormat="1" ht="12.75" customHeight="1"/>
    <row r="1204" s="4" customFormat="1" ht="12.75" customHeight="1"/>
    <row r="1205" s="4" customFormat="1" ht="12.75" customHeight="1"/>
    <row r="1206" s="4" customFormat="1" ht="12.75" customHeight="1"/>
    <row r="1207" s="4" customFormat="1" ht="12.75" customHeight="1"/>
    <row r="1208" s="4" customFormat="1" ht="12.75" customHeight="1"/>
    <row r="1209" s="4" customFormat="1" ht="12.75" customHeight="1"/>
    <row r="1210" s="4" customFormat="1" ht="12.75" customHeight="1"/>
    <row r="1211" s="4" customFormat="1" ht="12.75" customHeight="1"/>
    <row r="1212" s="4" customFormat="1" ht="12.75" customHeight="1"/>
    <row r="1213" s="4" customFormat="1" ht="12.75" customHeight="1"/>
    <row r="1214" s="4" customFormat="1" ht="12.75" customHeight="1"/>
    <row r="1215" s="4" customFormat="1" ht="12.75" customHeight="1"/>
    <row r="1216" s="4" customFormat="1" ht="12.75" customHeight="1"/>
    <row r="1217" s="4" customFormat="1" ht="12.75" customHeight="1"/>
    <row r="1218" s="4" customFormat="1" ht="12.75" customHeight="1"/>
    <row r="1219" s="4" customFormat="1" ht="12.75" customHeight="1"/>
    <row r="1220" s="4" customFormat="1" ht="12.75" customHeight="1"/>
    <row r="1221" s="4" customFormat="1" ht="12.75" customHeight="1"/>
    <row r="1222" s="4" customFormat="1" ht="12.75" customHeight="1"/>
    <row r="1223" s="4" customFormat="1" ht="12.75" customHeight="1"/>
    <row r="1224" s="4" customFormat="1" ht="12.75" customHeight="1"/>
    <row r="1225" s="4" customFormat="1" ht="12.75" customHeight="1"/>
    <row r="1226" s="4" customFormat="1" ht="12.75" customHeight="1"/>
    <row r="1227" s="4" customFormat="1" ht="12.75" customHeight="1"/>
    <row r="1228" s="4" customFormat="1" ht="12.75" customHeight="1"/>
    <row r="1229" s="4" customFormat="1" ht="12.75" customHeight="1"/>
    <row r="1230" s="4" customFormat="1" ht="12.75" customHeight="1"/>
    <row r="1231" s="4" customFormat="1" ht="12.75" customHeight="1"/>
    <row r="1232" s="4" customFormat="1" ht="12.75" customHeight="1"/>
    <row r="1233" s="4" customFormat="1" ht="12.75" customHeight="1"/>
    <row r="1234" s="4" customFormat="1" ht="12.75" customHeight="1"/>
    <row r="1235" s="4" customFormat="1" ht="12.75" customHeight="1"/>
    <row r="1236" s="4" customFormat="1" ht="12.75" customHeight="1"/>
    <row r="1237" s="4" customFormat="1" ht="12.75" customHeight="1"/>
    <row r="1238" s="4" customFormat="1" ht="12.75" customHeight="1"/>
    <row r="1239" s="4" customFormat="1" ht="12.75" customHeight="1"/>
    <row r="1240" s="4" customFormat="1" ht="12.75" customHeight="1"/>
    <row r="1241" s="4" customFormat="1" ht="12.75" customHeight="1"/>
    <row r="1242" s="4" customFormat="1" ht="12.75" customHeight="1"/>
    <row r="1243" s="4" customFormat="1" ht="12.75" customHeight="1"/>
    <row r="1244" s="4" customFormat="1" ht="12.75" customHeight="1"/>
    <row r="1245" s="4" customFormat="1" ht="12.75" customHeight="1"/>
    <row r="1246" s="4" customFormat="1" ht="12.75" customHeight="1"/>
    <row r="1247" s="4" customFormat="1" ht="12.75" customHeight="1"/>
    <row r="1248" s="4" customFormat="1" ht="12.75" customHeight="1"/>
    <row r="1249" s="4" customFormat="1" ht="12.75" customHeight="1"/>
    <row r="1250" s="4" customFormat="1" ht="12.75" customHeight="1"/>
    <row r="1251" s="4" customFormat="1" ht="12.75" customHeight="1"/>
    <row r="1252" s="4" customFormat="1" ht="12.75" customHeight="1"/>
    <row r="1253" s="4" customFormat="1" ht="12.75" customHeight="1"/>
    <row r="1254" s="4" customFormat="1" ht="12.75" customHeight="1"/>
    <row r="1255" s="4" customFormat="1" ht="12.75" customHeight="1"/>
    <row r="1256" s="4" customFormat="1" ht="12.75" customHeight="1"/>
    <row r="1257" s="4" customFormat="1" ht="12.75" customHeight="1"/>
    <row r="1258" s="4" customFormat="1" ht="12.75" customHeight="1"/>
    <row r="1259" s="4" customFormat="1" ht="12.75" customHeight="1"/>
    <row r="1260" s="4" customFormat="1" ht="12.75" customHeight="1"/>
    <row r="1261" s="4" customFormat="1" ht="12.75" customHeight="1"/>
    <row r="1262" s="4" customFormat="1" ht="12.75" customHeight="1"/>
    <row r="1263" s="4" customFormat="1" ht="12.75" customHeight="1"/>
    <row r="1264" s="4" customFormat="1" ht="12.75" customHeight="1"/>
    <row r="1265" s="4" customFormat="1" ht="12.75" customHeight="1"/>
    <row r="1266" s="4" customFormat="1" ht="12.75" customHeight="1"/>
    <row r="1267" s="4" customFormat="1" ht="12.75" customHeight="1"/>
    <row r="1268" s="4" customFormat="1" ht="12.75" customHeight="1"/>
    <row r="1269" s="4" customFormat="1" ht="12.75" customHeight="1"/>
    <row r="1270" s="4" customFormat="1" ht="12.75" customHeight="1"/>
    <row r="1271" s="4" customFormat="1" ht="12.75" customHeight="1"/>
    <row r="1272" s="4" customFormat="1" ht="12.75" customHeight="1"/>
    <row r="1273" s="4" customFormat="1" ht="12.75" customHeight="1"/>
    <row r="1274" s="4" customFormat="1" ht="12.75" customHeight="1"/>
    <row r="1275" s="4" customFormat="1" ht="12.75" customHeight="1"/>
    <row r="1276" s="4" customFormat="1" ht="12.75" customHeight="1"/>
    <row r="1277" s="4" customFormat="1" ht="12.75" customHeight="1"/>
    <row r="1278" s="4" customFormat="1" ht="12.75" customHeight="1"/>
    <row r="1279" s="4" customFormat="1" ht="12.75" customHeight="1"/>
    <row r="1280" s="4" customFormat="1" ht="12.75" customHeight="1"/>
    <row r="1281" s="4" customFormat="1" ht="12.75" customHeight="1"/>
    <row r="1282" s="4" customFormat="1" ht="12.75" customHeight="1"/>
    <row r="1283" s="4" customFormat="1" ht="12.75" customHeight="1"/>
    <row r="1284" s="4" customFormat="1" ht="12.75" customHeight="1"/>
    <row r="1285" s="4" customFormat="1" ht="12.75" customHeight="1"/>
    <row r="1286" s="4" customFormat="1" ht="12.75" customHeight="1"/>
    <row r="1287" s="4" customFormat="1" ht="12.75" customHeight="1"/>
    <row r="1288" s="4" customFormat="1" ht="12.75" customHeight="1"/>
    <row r="1289" s="4" customFormat="1" ht="12.75" customHeight="1"/>
    <row r="1290" s="4" customFormat="1" ht="12.75" customHeight="1"/>
    <row r="1291" s="4" customFormat="1" ht="12.75" customHeight="1"/>
    <row r="1292" s="4" customFormat="1" ht="12.75" customHeight="1"/>
    <row r="1293" s="4" customFormat="1" ht="12.75" customHeight="1"/>
    <row r="1294" s="4" customFormat="1" ht="12.75" customHeight="1"/>
    <row r="1295" s="4" customFormat="1" ht="12.75" customHeight="1"/>
    <row r="1296" s="4" customFormat="1" ht="12.75" customHeight="1"/>
    <row r="1297" s="4" customFormat="1" ht="12.75" customHeight="1"/>
    <row r="1298" s="4" customFormat="1" ht="12.75" customHeight="1"/>
    <row r="1299" s="4" customFormat="1" ht="12.75" customHeight="1"/>
    <row r="1300" s="4" customFormat="1" ht="12.75" customHeight="1"/>
    <row r="1301" s="4" customFormat="1" ht="12.75" customHeight="1"/>
    <row r="1302" s="4" customFormat="1" ht="12.75" customHeight="1"/>
    <row r="1303" s="4" customFormat="1" ht="12.75" customHeight="1"/>
    <row r="1304" s="4" customFormat="1" ht="12.75" customHeight="1"/>
    <row r="1305" s="4" customFormat="1" ht="12.75" customHeight="1"/>
    <row r="1306" s="4" customFormat="1" ht="12.75" customHeight="1"/>
    <row r="1307" s="4" customFormat="1" ht="12.75" customHeight="1"/>
    <row r="1308" s="4" customFormat="1" ht="12.75" customHeight="1"/>
    <row r="1309" s="4" customFormat="1" ht="12.75" customHeight="1"/>
    <row r="1310" s="4" customFormat="1" ht="12.75" customHeight="1"/>
    <row r="1311" s="4" customFormat="1" ht="12.75" customHeight="1"/>
    <row r="1312" s="4" customFormat="1" ht="12.75" customHeight="1"/>
    <row r="1313" s="4" customFormat="1" ht="12.75" customHeight="1"/>
    <row r="1314" s="4" customFormat="1" ht="12.75" customHeight="1"/>
    <row r="1315" s="4" customFormat="1" ht="12.75" customHeight="1"/>
    <row r="1316" s="4" customFormat="1" ht="12.75" customHeight="1"/>
    <row r="1317" s="4" customFormat="1" ht="12.75" customHeight="1"/>
    <row r="1318" s="4" customFormat="1" ht="12.75" customHeight="1"/>
    <row r="1319" s="4" customFormat="1" ht="12.75" customHeight="1"/>
    <row r="1320" s="4" customFormat="1" ht="12.75" customHeight="1"/>
    <row r="1321" s="4" customFormat="1" ht="12.75" customHeight="1"/>
    <row r="1322" s="4" customFormat="1" ht="12.75" customHeight="1"/>
    <row r="1323" s="4" customFormat="1" ht="12.75" customHeight="1"/>
    <row r="1324" s="4" customFormat="1" ht="12.75" customHeight="1"/>
    <row r="1325" s="4" customFormat="1" ht="12.75" customHeight="1"/>
    <row r="1326" s="4" customFormat="1" ht="12.75" customHeight="1"/>
    <row r="1327" s="4" customFormat="1" ht="12.75" customHeight="1"/>
    <row r="1328" s="4" customFormat="1" ht="12.75" customHeight="1"/>
    <row r="1329" s="4" customFormat="1" ht="12.75" customHeight="1"/>
    <row r="1330" s="4" customFormat="1" ht="12.75" customHeight="1"/>
    <row r="1331" s="4" customFormat="1" ht="12.75" customHeight="1"/>
    <row r="1332" s="4" customFormat="1" ht="12.75" customHeight="1"/>
    <row r="1333" s="4" customFormat="1" ht="12.75" customHeight="1"/>
    <row r="1334" s="4" customFormat="1" ht="12.75" customHeight="1"/>
    <row r="1335" s="4" customFormat="1" ht="12.75" customHeight="1"/>
    <row r="1336" s="4" customFormat="1" ht="12.75" customHeight="1"/>
    <row r="1337" s="4" customFormat="1" ht="12.75" customHeight="1"/>
    <row r="1338" s="4" customFormat="1" ht="12.75" customHeight="1"/>
    <row r="1339" s="4" customFormat="1" ht="12.75" customHeight="1"/>
    <row r="1340" s="4" customFormat="1" ht="12.75" customHeight="1"/>
    <row r="1341" s="4" customFormat="1" ht="12.75" customHeight="1"/>
    <row r="1342" s="4" customFormat="1" ht="12.75" customHeight="1"/>
    <row r="1343" s="4" customFormat="1" ht="12.75" customHeight="1"/>
    <row r="1344" s="4" customFormat="1" ht="12.75" customHeight="1"/>
    <row r="1345" s="4" customFormat="1" ht="12.75" customHeight="1"/>
    <row r="1346" s="4" customFormat="1" ht="12.75" customHeight="1"/>
    <row r="1347" s="4" customFormat="1" ht="12.75" customHeight="1"/>
    <row r="1348" s="4" customFormat="1" ht="12.75" customHeight="1"/>
    <row r="1349" s="4" customFormat="1" ht="12.75" customHeight="1"/>
    <row r="1350" s="4" customFormat="1" ht="12.75" customHeight="1"/>
    <row r="1351" s="4" customFormat="1" ht="12.75" customHeight="1"/>
    <row r="1352" s="4" customFormat="1" ht="12.75" customHeight="1"/>
    <row r="1353" s="4" customFormat="1" ht="12.75" customHeight="1"/>
    <row r="1354" s="4" customFormat="1" ht="12.75" customHeight="1"/>
    <row r="1355" s="4" customFormat="1" ht="12.75" customHeight="1"/>
    <row r="1356" s="4" customFormat="1" ht="12.75" customHeight="1"/>
    <row r="1357" s="4" customFormat="1" ht="12.75" customHeight="1"/>
    <row r="1358" s="4" customFormat="1" ht="12.75" customHeight="1"/>
    <row r="1359" s="4" customFormat="1" ht="12.75" customHeight="1"/>
    <row r="1360" s="4" customFormat="1" ht="12.75" customHeight="1"/>
    <row r="1361" s="4" customFormat="1" ht="12.75" customHeight="1"/>
    <row r="1362" s="4" customFormat="1" ht="12.75" customHeight="1"/>
    <row r="1363" s="4" customFormat="1" ht="12.75" customHeight="1"/>
    <row r="1364" s="4" customFormat="1" ht="12.75" customHeight="1"/>
    <row r="1365" s="4" customFormat="1" ht="12.75" customHeight="1"/>
    <row r="1366" s="4" customFormat="1" ht="12.75" customHeight="1"/>
    <row r="1367" s="4" customFormat="1" ht="12.75" customHeight="1"/>
    <row r="1368" s="4" customFormat="1" ht="12.75" customHeight="1"/>
    <row r="1369" s="4" customFormat="1" ht="12.75" customHeight="1"/>
    <row r="1370" s="4" customFormat="1" ht="12.75" customHeight="1"/>
    <row r="1371" s="4" customFormat="1" ht="12.75" customHeight="1"/>
  </sheetData>
  <mergeCells count="4">
    <mergeCell ref="A4:F4"/>
    <mergeCell ref="A1:F1"/>
    <mergeCell ref="A2:F2"/>
    <mergeCell ref="A3:F3"/>
  </mergeCells>
  <phoneticPr fontId="13" type="noConversion"/>
  <pageMargins left="0.75" right="0.5" top="1" bottom="0.5" header="0.5" footer="0.5"/>
  <pageSetup scale="89" orientation="portrait" horizontalDpi="4294967295" verticalDpi="4294967295" r:id="rId1"/>
  <headerFooter alignWithMargins="0"/>
  <rowBreaks count="4" manualBreakCount="4">
    <brk id="52" max="16383" man="1"/>
    <brk id="97" max="16383" man="1"/>
    <brk id="142" max="16383" man="1"/>
    <brk id="187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110"/>
  <sheetViews>
    <sheetView workbookViewId="0">
      <selection activeCell="Z11" sqref="Z11"/>
    </sheetView>
  </sheetViews>
  <sheetFormatPr defaultColWidth="5.7109375" defaultRowHeight="15.75"/>
  <cols>
    <col min="1" max="1" width="13.7109375" style="100" customWidth="1"/>
    <col min="2" max="2" width="1.7109375" style="100" customWidth="1"/>
    <col min="3" max="4" width="14.7109375" style="100" customWidth="1"/>
    <col min="5" max="5" width="27.28515625" style="100" hidden="1" customWidth="1"/>
    <col min="6" max="6" width="22.28515625" style="100" hidden="1" customWidth="1"/>
    <col min="7" max="7" width="14.7109375" style="100" customWidth="1"/>
    <col min="8" max="9" width="14.7109375" style="100" hidden="1" customWidth="1"/>
    <col min="10" max="10" width="14.7109375" style="100" customWidth="1"/>
    <col min="11" max="11" width="17.140625" style="100" hidden="1" customWidth="1"/>
    <col min="12" max="12" width="16.42578125" style="100" hidden="1" customWidth="1"/>
    <col min="13" max="13" width="19.42578125" style="100" hidden="1" customWidth="1"/>
    <col min="14" max="14" width="22.85546875" style="100" hidden="1" customWidth="1"/>
    <col min="15" max="15" width="14.7109375" style="100" customWidth="1"/>
    <col min="16" max="16" width="15.5703125" style="100" customWidth="1"/>
    <col min="17" max="18" width="14.7109375" style="100" hidden="1" customWidth="1"/>
    <col min="19" max="22" width="14.7109375" style="100" customWidth="1"/>
    <col min="23" max="23" width="12.5703125" style="100" customWidth="1"/>
    <col min="24" max="24" width="15.7109375" style="100" customWidth="1"/>
    <col min="25" max="16384" width="5.7109375" style="100"/>
  </cols>
  <sheetData>
    <row r="1" spans="1:32" s="98" customFormat="1">
      <c r="A1" s="214" t="s">
        <v>0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6"/>
      <c r="Q1" s="122"/>
      <c r="R1" s="121"/>
      <c r="S1" s="217" t="s">
        <v>0</v>
      </c>
      <c r="T1" s="218"/>
      <c r="U1" s="218"/>
      <c r="V1" s="218"/>
      <c r="W1" s="218"/>
      <c r="X1" s="219"/>
    </row>
    <row r="2" spans="1:32" s="98" customFormat="1">
      <c r="A2" s="220" t="s">
        <v>130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2"/>
      <c r="Q2" s="122"/>
      <c r="R2" s="121"/>
      <c r="S2" s="223" t="s">
        <v>130</v>
      </c>
      <c r="T2" s="209"/>
      <c r="U2" s="209"/>
      <c r="V2" s="209"/>
      <c r="W2" s="209"/>
      <c r="X2" s="224"/>
    </row>
    <row r="3" spans="1:32" s="98" customFormat="1">
      <c r="A3" s="220" t="s">
        <v>151</v>
      </c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2"/>
      <c r="Q3" s="122"/>
      <c r="R3" s="121"/>
      <c r="S3" s="223" t="s">
        <v>151</v>
      </c>
      <c r="T3" s="209"/>
      <c r="U3" s="209"/>
      <c r="V3" s="209"/>
      <c r="W3" s="209"/>
      <c r="X3" s="224"/>
    </row>
    <row r="4" spans="1:32" s="98" customFormat="1" ht="16.5" thickBot="1">
      <c r="A4" s="122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3"/>
      <c r="Q4" s="124"/>
      <c r="R4" s="125"/>
      <c r="S4" s="159"/>
      <c r="T4" s="125"/>
      <c r="U4" s="125"/>
      <c r="V4" s="125"/>
      <c r="W4" s="125"/>
      <c r="X4" s="126"/>
    </row>
    <row r="5" spans="1:32" s="98" customFormat="1">
      <c r="A5" s="127"/>
      <c r="B5" s="129"/>
      <c r="C5" s="160" t="s">
        <v>131</v>
      </c>
      <c r="D5" s="160" t="s">
        <v>131</v>
      </c>
      <c r="E5" s="130" t="s">
        <v>131</v>
      </c>
      <c r="F5" s="129" t="s">
        <v>131</v>
      </c>
      <c r="G5" s="160" t="s">
        <v>131</v>
      </c>
      <c r="H5" s="130" t="s">
        <v>131</v>
      </c>
      <c r="I5" s="129" t="s">
        <v>131</v>
      </c>
      <c r="J5" s="160" t="s">
        <v>131</v>
      </c>
      <c r="K5" s="130" t="s">
        <v>131</v>
      </c>
      <c r="L5" s="128" t="s">
        <v>131</v>
      </c>
      <c r="M5" s="128" t="s">
        <v>131</v>
      </c>
      <c r="N5" s="129" t="s">
        <v>131</v>
      </c>
      <c r="O5" s="160" t="s">
        <v>131</v>
      </c>
      <c r="P5" s="160" t="s">
        <v>131</v>
      </c>
      <c r="Q5" s="127" t="s">
        <v>131</v>
      </c>
      <c r="R5" s="129" t="s">
        <v>131</v>
      </c>
      <c r="S5" s="160" t="s">
        <v>131</v>
      </c>
      <c r="T5" s="160" t="s">
        <v>131</v>
      </c>
      <c r="U5" s="160" t="s">
        <v>131</v>
      </c>
      <c r="V5" s="160" t="s">
        <v>131</v>
      </c>
      <c r="W5" s="160"/>
      <c r="X5" s="178"/>
    </row>
    <row r="6" spans="1:32" s="98" customFormat="1">
      <c r="A6" s="131"/>
      <c r="B6" s="169"/>
      <c r="C6" s="172">
        <v>2020</v>
      </c>
      <c r="D6" s="172">
        <v>2019</v>
      </c>
      <c r="E6" s="174" t="s">
        <v>132</v>
      </c>
      <c r="F6" s="134" t="s">
        <v>132</v>
      </c>
      <c r="G6" s="161">
        <v>2018</v>
      </c>
      <c r="H6" s="174" t="s">
        <v>133</v>
      </c>
      <c r="I6" s="134" t="s">
        <v>134</v>
      </c>
      <c r="J6" s="161">
        <v>2017</v>
      </c>
      <c r="K6" s="174" t="s">
        <v>135</v>
      </c>
      <c r="L6" s="132" t="s">
        <v>136</v>
      </c>
      <c r="M6" s="132" t="s">
        <v>137</v>
      </c>
      <c r="N6" s="134" t="s">
        <v>137</v>
      </c>
      <c r="O6" s="161">
        <v>2016</v>
      </c>
      <c r="P6" s="161">
        <v>2015</v>
      </c>
      <c r="Q6" s="133" t="s">
        <v>138</v>
      </c>
      <c r="R6" s="134" t="s">
        <v>139</v>
      </c>
      <c r="S6" s="161">
        <v>2014</v>
      </c>
      <c r="T6" s="161" t="s">
        <v>139</v>
      </c>
      <c r="U6" s="161">
        <v>2012</v>
      </c>
      <c r="V6" s="161">
        <v>2008</v>
      </c>
      <c r="W6" s="161"/>
      <c r="X6" s="179"/>
    </row>
    <row r="7" spans="1:32" s="98" customFormat="1">
      <c r="A7" s="131"/>
      <c r="B7" s="169"/>
      <c r="C7" s="162" t="s">
        <v>140</v>
      </c>
      <c r="D7" s="162" t="s">
        <v>140</v>
      </c>
      <c r="E7" s="138" t="s">
        <v>140</v>
      </c>
      <c r="F7" s="137" t="s">
        <v>140</v>
      </c>
      <c r="G7" s="162" t="s">
        <v>140</v>
      </c>
      <c r="H7" s="138" t="s">
        <v>140</v>
      </c>
      <c r="I7" s="137" t="s">
        <v>140</v>
      </c>
      <c r="J7" s="162" t="s">
        <v>140</v>
      </c>
      <c r="K7" s="138" t="s">
        <v>140</v>
      </c>
      <c r="L7" s="135" t="s">
        <v>140</v>
      </c>
      <c r="M7" s="135" t="s">
        <v>140</v>
      </c>
      <c r="N7" s="137" t="s">
        <v>140</v>
      </c>
      <c r="O7" s="162" t="s">
        <v>140</v>
      </c>
      <c r="P7" s="162" t="s">
        <v>140</v>
      </c>
      <c r="Q7" s="136" t="s">
        <v>140</v>
      </c>
      <c r="R7" s="137" t="s">
        <v>140</v>
      </c>
      <c r="S7" s="162" t="s">
        <v>140</v>
      </c>
      <c r="T7" s="162" t="s">
        <v>140</v>
      </c>
      <c r="U7" s="162" t="s">
        <v>140</v>
      </c>
      <c r="V7" s="162" t="s">
        <v>140</v>
      </c>
      <c r="W7" s="162"/>
      <c r="X7" s="162"/>
    </row>
    <row r="8" spans="1:32">
      <c r="A8" s="139"/>
      <c r="B8" s="141"/>
      <c r="C8" s="162" t="s">
        <v>141</v>
      </c>
      <c r="D8" s="162" t="s">
        <v>141</v>
      </c>
      <c r="E8" s="138" t="s">
        <v>141</v>
      </c>
      <c r="F8" s="137" t="s">
        <v>141</v>
      </c>
      <c r="G8" s="162" t="s">
        <v>141</v>
      </c>
      <c r="H8" s="138" t="s">
        <v>141</v>
      </c>
      <c r="I8" s="137" t="s">
        <v>141</v>
      </c>
      <c r="J8" s="162" t="s">
        <v>141</v>
      </c>
      <c r="K8" s="138" t="s">
        <v>141</v>
      </c>
      <c r="L8" s="135" t="s">
        <v>141</v>
      </c>
      <c r="M8" s="135" t="s">
        <v>141</v>
      </c>
      <c r="N8" s="137" t="s">
        <v>141</v>
      </c>
      <c r="O8" s="162" t="s">
        <v>141</v>
      </c>
      <c r="P8" s="162" t="s">
        <v>141</v>
      </c>
      <c r="Q8" s="136" t="s">
        <v>141</v>
      </c>
      <c r="R8" s="137" t="s">
        <v>141</v>
      </c>
      <c r="S8" s="162" t="s">
        <v>141</v>
      </c>
      <c r="T8" s="162" t="s">
        <v>141</v>
      </c>
      <c r="U8" s="162" t="s">
        <v>141</v>
      </c>
      <c r="V8" s="162" t="s">
        <v>141</v>
      </c>
      <c r="W8" s="162"/>
      <c r="X8" s="162"/>
    </row>
    <row r="9" spans="1:32">
      <c r="A9" s="139"/>
      <c r="B9" s="141"/>
      <c r="C9" s="162" t="s">
        <v>92</v>
      </c>
      <c r="D9" s="162" t="s">
        <v>92</v>
      </c>
      <c r="E9" s="138" t="s">
        <v>142</v>
      </c>
      <c r="F9" s="137" t="s">
        <v>92</v>
      </c>
      <c r="G9" s="162" t="s">
        <v>92</v>
      </c>
      <c r="H9" s="138" t="s">
        <v>142</v>
      </c>
      <c r="I9" s="137" t="s">
        <v>142</v>
      </c>
      <c r="J9" s="162" t="s">
        <v>142</v>
      </c>
      <c r="K9" s="138" t="s">
        <v>142</v>
      </c>
      <c r="L9" s="135" t="s">
        <v>142</v>
      </c>
      <c r="M9" s="135" t="s">
        <v>92</v>
      </c>
      <c r="N9" s="137" t="s">
        <v>142</v>
      </c>
      <c r="O9" s="162" t="s">
        <v>142</v>
      </c>
      <c r="P9" s="162" t="s">
        <v>92</v>
      </c>
      <c r="Q9" s="136" t="s">
        <v>92</v>
      </c>
      <c r="R9" s="137" t="s">
        <v>142</v>
      </c>
      <c r="S9" s="162" t="s">
        <v>92</v>
      </c>
      <c r="T9" s="162" t="s">
        <v>92</v>
      </c>
      <c r="U9" s="162" t="s">
        <v>92</v>
      </c>
      <c r="V9" s="162" t="s">
        <v>92</v>
      </c>
      <c r="W9" s="162"/>
      <c r="X9" s="162"/>
    </row>
    <row r="10" spans="1:32">
      <c r="A10" s="139"/>
      <c r="B10" s="141"/>
      <c r="C10" s="162" t="s">
        <v>143</v>
      </c>
      <c r="D10" s="162" t="s">
        <v>143</v>
      </c>
      <c r="E10" s="138" t="s">
        <v>144</v>
      </c>
      <c r="F10" s="137" t="s">
        <v>143</v>
      </c>
      <c r="G10" s="162" t="s">
        <v>143</v>
      </c>
      <c r="H10" s="138" t="s">
        <v>144</v>
      </c>
      <c r="I10" s="137" t="s">
        <v>144</v>
      </c>
      <c r="J10" s="162" t="s">
        <v>144</v>
      </c>
      <c r="K10" s="138" t="s">
        <v>144</v>
      </c>
      <c r="L10" s="135" t="s">
        <v>144</v>
      </c>
      <c r="M10" s="135" t="s">
        <v>143</v>
      </c>
      <c r="N10" s="137" t="s">
        <v>144</v>
      </c>
      <c r="O10" s="162" t="s">
        <v>144</v>
      </c>
      <c r="P10" s="162" t="s">
        <v>143</v>
      </c>
      <c r="Q10" s="136" t="s">
        <v>143</v>
      </c>
      <c r="R10" s="137" t="s">
        <v>144</v>
      </c>
      <c r="S10" s="162" t="s">
        <v>143</v>
      </c>
      <c r="T10" s="162" t="s">
        <v>143</v>
      </c>
      <c r="U10" s="162" t="s">
        <v>143</v>
      </c>
      <c r="V10" s="162" t="s">
        <v>143</v>
      </c>
      <c r="W10" s="162"/>
      <c r="X10" s="162"/>
    </row>
    <row r="11" spans="1:32">
      <c r="A11" s="139"/>
      <c r="B11" s="141"/>
      <c r="C11" s="162" t="s">
        <v>145</v>
      </c>
      <c r="D11" s="162" t="s">
        <v>145</v>
      </c>
      <c r="E11" s="138"/>
      <c r="F11" s="137" t="s">
        <v>144</v>
      </c>
      <c r="G11" s="162" t="s">
        <v>145</v>
      </c>
      <c r="H11" s="138"/>
      <c r="I11" s="137"/>
      <c r="J11" s="162" t="s">
        <v>152</v>
      </c>
      <c r="K11" s="138"/>
      <c r="L11" s="135"/>
      <c r="M11" s="135" t="s">
        <v>144</v>
      </c>
      <c r="N11" s="137"/>
      <c r="O11" s="162"/>
      <c r="P11" s="162" t="s">
        <v>145</v>
      </c>
      <c r="Q11" s="136" t="s">
        <v>144</v>
      </c>
      <c r="R11" s="141" t="s">
        <v>146</v>
      </c>
      <c r="S11" s="162" t="s">
        <v>144</v>
      </c>
      <c r="T11" s="162" t="s">
        <v>145</v>
      </c>
      <c r="U11" s="162" t="s">
        <v>145</v>
      </c>
      <c r="V11" s="162" t="s">
        <v>144</v>
      </c>
      <c r="W11" s="162"/>
      <c r="X11" s="162"/>
    </row>
    <row r="12" spans="1:32" s="142" customFormat="1">
      <c r="A12" s="136" t="s">
        <v>147</v>
      </c>
      <c r="B12" s="137"/>
      <c r="C12" s="173" t="s">
        <v>142</v>
      </c>
      <c r="D12" s="162" t="s">
        <v>142</v>
      </c>
      <c r="E12" s="175" t="s">
        <v>146</v>
      </c>
      <c r="F12" s="141" t="s">
        <v>146</v>
      </c>
      <c r="G12" s="162" t="s">
        <v>142</v>
      </c>
      <c r="H12" s="175" t="s">
        <v>146</v>
      </c>
      <c r="I12" s="141" t="s">
        <v>146</v>
      </c>
      <c r="J12" s="162" t="s">
        <v>153</v>
      </c>
      <c r="K12" s="175" t="s">
        <v>146</v>
      </c>
      <c r="L12" s="140" t="s">
        <v>146</v>
      </c>
      <c r="M12" s="140" t="s">
        <v>146</v>
      </c>
      <c r="N12" s="141" t="s">
        <v>146</v>
      </c>
      <c r="O12" s="162"/>
      <c r="P12" s="162" t="s">
        <v>142</v>
      </c>
      <c r="Q12" s="139" t="s">
        <v>146</v>
      </c>
      <c r="R12" s="141" t="s">
        <v>146</v>
      </c>
      <c r="S12" s="162"/>
      <c r="T12" s="162" t="s">
        <v>142</v>
      </c>
      <c r="U12" s="162" t="s">
        <v>142</v>
      </c>
      <c r="V12" s="162"/>
      <c r="W12" s="162"/>
      <c r="X12" s="162" t="s">
        <v>64</v>
      </c>
    </row>
    <row r="13" spans="1:32" ht="20.25">
      <c r="A13" s="143" t="s">
        <v>148</v>
      </c>
      <c r="B13" s="145"/>
      <c r="C13" s="163" t="s">
        <v>144</v>
      </c>
      <c r="D13" s="163" t="s">
        <v>144</v>
      </c>
      <c r="E13" s="157" t="s">
        <v>149</v>
      </c>
      <c r="F13" s="145" t="s">
        <v>149</v>
      </c>
      <c r="G13" s="176" t="s">
        <v>144</v>
      </c>
      <c r="H13" s="157" t="s">
        <v>149</v>
      </c>
      <c r="I13" s="145" t="s">
        <v>149</v>
      </c>
      <c r="J13" s="163" t="s">
        <v>144</v>
      </c>
      <c r="K13" s="157" t="s">
        <v>149</v>
      </c>
      <c r="L13" s="144" t="s">
        <v>149</v>
      </c>
      <c r="M13" s="144" t="s">
        <v>149</v>
      </c>
      <c r="N13" s="145" t="s">
        <v>149</v>
      </c>
      <c r="O13" s="163" t="s">
        <v>149</v>
      </c>
      <c r="P13" s="176" t="s">
        <v>144</v>
      </c>
      <c r="Q13" s="143" t="s">
        <v>149</v>
      </c>
      <c r="R13" s="145" t="s">
        <v>149</v>
      </c>
      <c r="S13" s="163" t="s">
        <v>149</v>
      </c>
      <c r="T13" s="176" t="s">
        <v>144</v>
      </c>
      <c r="U13" s="176" t="s">
        <v>144</v>
      </c>
      <c r="V13" s="163" t="s">
        <v>149</v>
      </c>
      <c r="W13" s="163" t="s">
        <v>149</v>
      </c>
      <c r="X13" s="176" t="s">
        <v>115</v>
      </c>
    </row>
    <row r="14" spans="1:32" s="112" customFormat="1" ht="15.2" customHeight="1">
      <c r="A14" s="146">
        <v>44196</v>
      </c>
      <c r="B14" s="147"/>
      <c r="C14" s="166">
        <f>1500000+2244469.5</f>
        <v>3744469.5</v>
      </c>
      <c r="D14" s="166">
        <v>0</v>
      </c>
      <c r="E14" s="21">
        <v>180000</v>
      </c>
      <c r="F14" s="148">
        <v>1725000</v>
      </c>
      <c r="G14" s="166">
        <v>0</v>
      </c>
      <c r="H14" s="21">
        <v>495000</v>
      </c>
      <c r="I14" s="148">
        <v>475000</v>
      </c>
      <c r="J14" s="166">
        <v>0</v>
      </c>
      <c r="K14" s="21">
        <v>7120000</v>
      </c>
      <c r="L14" s="148">
        <v>8645000</v>
      </c>
      <c r="M14" s="148">
        <v>500000</v>
      </c>
      <c r="N14" s="148">
        <v>2365000</v>
      </c>
      <c r="O14" s="166">
        <v>0</v>
      </c>
      <c r="P14" s="166">
        <v>0</v>
      </c>
      <c r="Q14" s="149">
        <v>0</v>
      </c>
      <c r="R14" s="148">
        <v>2650000</v>
      </c>
      <c r="S14" s="164">
        <v>0</v>
      </c>
      <c r="T14" s="164">
        <v>0</v>
      </c>
      <c r="U14" s="166">
        <v>0</v>
      </c>
      <c r="V14" s="166">
        <v>0</v>
      </c>
      <c r="W14" s="166">
        <v>0</v>
      </c>
      <c r="X14" s="166">
        <f t="shared" ref="X14:X41" si="0">SUM(C14,D14,G14,J14,O14,P14,S14,T14,U14,V14,W14)</f>
        <v>3744469.5</v>
      </c>
      <c r="Z14" s="209"/>
      <c r="AA14" s="209"/>
      <c r="AB14" s="209"/>
      <c r="AC14" s="209"/>
      <c r="AD14" s="209"/>
      <c r="AE14" s="209"/>
      <c r="AF14" s="209"/>
    </row>
    <row r="15" spans="1:32" s="112" customFormat="1" ht="15.2" customHeight="1">
      <c r="A15" s="146">
        <f t="shared" ref="A15:A32" si="1">A14+365</f>
        <v>44561</v>
      </c>
      <c r="B15" s="147"/>
      <c r="C15" s="166">
        <f>1905491.25+4050000</f>
        <v>5955491.25</v>
      </c>
      <c r="D15" s="166">
        <f>1330000+1790000</f>
        <v>3120000</v>
      </c>
      <c r="E15" s="21">
        <v>180000</v>
      </c>
      <c r="F15" s="148">
        <v>1725000</v>
      </c>
      <c r="G15" s="166">
        <v>1205000</v>
      </c>
      <c r="H15" s="21">
        <v>515000</v>
      </c>
      <c r="I15" s="148">
        <v>485000</v>
      </c>
      <c r="J15" s="166">
        <f>1725000+180000</f>
        <v>1905000</v>
      </c>
      <c r="K15" s="21">
        <v>7635000</v>
      </c>
      <c r="L15" s="148">
        <v>9450000</v>
      </c>
      <c r="M15" s="148">
        <v>500000</v>
      </c>
      <c r="N15" s="148">
        <v>2810000</v>
      </c>
      <c r="O15" s="166">
        <f>475000+495000</f>
        <v>970000</v>
      </c>
      <c r="P15" s="166">
        <v>7620000</v>
      </c>
      <c r="Q15" s="149">
        <v>0</v>
      </c>
      <c r="R15" s="148">
        <v>2905000</v>
      </c>
      <c r="S15" s="165">
        <v>310000</v>
      </c>
      <c r="T15" s="164">
        <v>0</v>
      </c>
      <c r="U15" s="166">
        <v>3280000</v>
      </c>
      <c r="V15" s="166">
        <v>8042</v>
      </c>
      <c r="W15" s="166">
        <v>0</v>
      </c>
      <c r="X15" s="166">
        <f t="shared" si="0"/>
        <v>24373533.25</v>
      </c>
      <c r="Z15" s="99"/>
      <c r="AA15" s="100"/>
      <c r="AB15" s="100"/>
      <c r="AC15" s="100"/>
      <c r="AD15" s="100"/>
      <c r="AE15" s="100"/>
      <c r="AF15" s="100"/>
    </row>
    <row r="16" spans="1:32" s="112" customFormat="1" ht="15.2" customHeight="1">
      <c r="A16" s="146">
        <f t="shared" si="1"/>
        <v>44926</v>
      </c>
      <c r="B16" s="147"/>
      <c r="C16" s="166">
        <v>2110000</v>
      </c>
      <c r="D16" s="166">
        <v>1500000</v>
      </c>
      <c r="E16" s="21">
        <v>1685000</v>
      </c>
      <c r="F16" s="148">
        <v>100000</v>
      </c>
      <c r="G16" s="166">
        <v>1465000</v>
      </c>
      <c r="H16" s="21">
        <v>1280000</v>
      </c>
      <c r="I16" s="148">
        <v>500000</v>
      </c>
      <c r="J16" s="166">
        <f>1725000+180000</f>
        <v>1905000</v>
      </c>
      <c r="K16" s="21">
        <v>8235000</v>
      </c>
      <c r="L16" s="148">
        <v>10055000</v>
      </c>
      <c r="M16" s="148">
        <v>500000</v>
      </c>
      <c r="N16" s="148">
        <v>3150000</v>
      </c>
      <c r="O16" s="166">
        <f>485000+515000</f>
        <v>1000000</v>
      </c>
      <c r="P16" s="177">
        <v>20395000</v>
      </c>
      <c r="Q16" s="149">
        <v>0</v>
      </c>
      <c r="R16" s="148">
        <v>2925000</v>
      </c>
      <c r="S16" s="165">
        <v>370000</v>
      </c>
      <c r="T16" s="164">
        <v>2905000</v>
      </c>
      <c r="U16" s="166">
        <v>3985000</v>
      </c>
      <c r="V16" s="166">
        <v>6147</v>
      </c>
      <c r="W16" s="166">
        <v>0</v>
      </c>
      <c r="X16" s="166">
        <f t="shared" si="0"/>
        <v>35641147</v>
      </c>
      <c r="Z16" s="101"/>
      <c r="AA16" s="102"/>
      <c r="AB16" s="102"/>
      <c r="AC16" s="102"/>
      <c r="AD16" s="102"/>
      <c r="AE16" s="102"/>
      <c r="AF16" s="102"/>
    </row>
    <row r="17" spans="1:32" s="112" customFormat="1" ht="15.2" customHeight="1">
      <c r="A17" s="146">
        <f t="shared" si="1"/>
        <v>45291</v>
      </c>
      <c r="B17" s="147"/>
      <c r="C17" s="166">
        <v>880000</v>
      </c>
      <c r="D17" s="166">
        <f>1530000+805000</f>
        <v>2335000</v>
      </c>
      <c r="E17" s="21">
        <v>1890000</v>
      </c>
      <c r="F17" s="148">
        <v>100000</v>
      </c>
      <c r="G17" s="166">
        <v>1605000</v>
      </c>
      <c r="H17" s="21">
        <v>1315000</v>
      </c>
      <c r="I17" s="148">
        <v>515000</v>
      </c>
      <c r="J17" s="166">
        <f>100000+1685000</f>
        <v>1785000</v>
      </c>
      <c r="K17" s="21">
        <v>8845000</v>
      </c>
      <c r="L17" s="148">
        <v>10840000</v>
      </c>
      <c r="M17" s="148">
        <v>500000</v>
      </c>
      <c r="N17" s="148">
        <v>3535000</v>
      </c>
      <c r="O17" s="166">
        <f>500000+1280000</f>
        <v>1780000</v>
      </c>
      <c r="P17" s="177">
        <v>21940000</v>
      </c>
      <c r="Q17" s="149">
        <v>0</v>
      </c>
      <c r="R17" s="148">
        <v>3130000</v>
      </c>
      <c r="S17" s="165">
        <v>310000</v>
      </c>
      <c r="T17" s="164">
        <v>2925000</v>
      </c>
      <c r="U17" s="166">
        <v>0</v>
      </c>
      <c r="V17" s="166">
        <v>4546</v>
      </c>
      <c r="W17" s="166">
        <v>0</v>
      </c>
      <c r="X17" s="166">
        <f t="shared" si="0"/>
        <v>33564546</v>
      </c>
      <c r="Z17" s="103"/>
      <c r="AA17" s="12"/>
      <c r="AB17" s="104"/>
      <c r="AC17" s="104"/>
      <c r="AD17" s="104"/>
      <c r="AE17" s="104"/>
      <c r="AF17" s="104"/>
    </row>
    <row r="18" spans="1:32" s="112" customFormat="1" ht="15.2" customHeight="1">
      <c r="A18" s="146">
        <f t="shared" si="1"/>
        <v>45656</v>
      </c>
      <c r="B18" s="147"/>
      <c r="C18" s="166">
        <v>1640000</v>
      </c>
      <c r="D18" s="166">
        <f>1840000+1015000</f>
        <v>2855000</v>
      </c>
      <c r="E18" s="21">
        <v>2015000</v>
      </c>
      <c r="F18" s="148">
        <v>100000</v>
      </c>
      <c r="G18" s="166">
        <v>1235000</v>
      </c>
      <c r="H18" s="21">
        <v>1375000</v>
      </c>
      <c r="I18" s="148">
        <v>530000</v>
      </c>
      <c r="J18" s="166">
        <f>100000+1890000</f>
        <v>1990000</v>
      </c>
      <c r="K18" s="21">
        <v>9495000</v>
      </c>
      <c r="L18" s="148">
        <v>11530000</v>
      </c>
      <c r="M18" s="148">
        <v>500000</v>
      </c>
      <c r="N18" s="148">
        <v>3825000</v>
      </c>
      <c r="O18" s="166">
        <f>515000+1315000</f>
        <v>1830000</v>
      </c>
      <c r="P18" s="177">
        <v>23720000</v>
      </c>
      <c r="Q18" s="149">
        <v>0</v>
      </c>
      <c r="R18" s="148">
        <v>3285000</v>
      </c>
      <c r="S18" s="165">
        <v>375000</v>
      </c>
      <c r="T18" s="164">
        <v>3130000</v>
      </c>
      <c r="U18" s="166">
        <v>0</v>
      </c>
      <c r="V18" s="166">
        <v>3477</v>
      </c>
      <c r="W18" s="166">
        <v>0</v>
      </c>
      <c r="X18" s="166">
        <f t="shared" si="0"/>
        <v>36778477</v>
      </c>
      <c r="Z18" s="103"/>
      <c r="AA18" s="12"/>
      <c r="AB18" s="12"/>
      <c r="AC18" s="12"/>
      <c r="AD18" s="12"/>
      <c r="AE18" s="12"/>
      <c r="AF18" s="12"/>
    </row>
    <row r="19" spans="1:32" s="112" customFormat="1" ht="15.2" customHeight="1">
      <c r="A19" s="146">
        <f t="shared" si="1"/>
        <v>46021</v>
      </c>
      <c r="B19" s="147"/>
      <c r="C19" s="166">
        <f>4405000+2235000</f>
        <v>6640000</v>
      </c>
      <c r="D19" s="166">
        <f>1110000+1100000</f>
        <v>2210000</v>
      </c>
      <c r="E19" s="21">
        <v>2245000</v>
      </c>
      <c r="F19" s="148">
        <v>100000</v>
      </c>
      <c r="G19" s="166">
        <v>1245000</v>
      </c>
      <c r="H19" s="21">
        <v>1550000</v>
      </c>
      <c r="I19" s="148">
        <v>555000</v>
      </c>
      <c r="J19" s="166">
        <f>100000+2015000</f>
        <v>2115000</v>
      </c>
      <c r="K19" s="21">
        <v>8995000</v>
      </c>
      <c r="L19" s="148">
        <v>12280000</v>
      </c>
      <c r="M19" s="148">
        <v>500000</v>
      </c>
      <c r="N19" s="148">
        <v>4105000</v>
      </c>
      <c r="O19" s="166">
        <f>530000+1375000</f>
        <v>1905000</v>
      </c>
      <c r="P19" s="177">
        <v>25350000</v>
      </c>
      <c r="Q19" s="149">
        <v>0</v>
      </c>
      <c r="R19" s="148">
        <v>3275000</v>
      </c>
      <c r="S19" s="165">
        <v>540000</v>
      </c>
      <c r="T19" s="164">
        <v>0</v>
      </c>
      <c r="U19" s="166">
        <v>0</v>
      </c>
      <c r="V19" s="166">
        <v>2569</v>
      </c>
      <c r="W19" s="166">
        <v>0</v>
      </c>
      <c r="X19" s="166">
        <f t="shared" si="0"/>
        <v>40007569</v>
      </c>
      <c r="Z19" s="103"/>
      <c r="AA19" s="12"/>
      <c r="AB19" s="12"/>
      <c r="AC19" s="12"/>
      <c r="AD19" s="12"/>
      <c r="AE19" s="12"/>
      <c r="AF19" s="12"/>
    </row>
    <row r="20" spans="1:32" s="112" customFormat="1" ht="15.2" customHeight="1">
      <c r="A20" s="146">
        <f t="shared" si="1"/>
        <v>46386</v>
      </c>
      <c r="B20" s="147"/>
      <c r="C20" s="166">
        <f>4490000+585000</f>
        <v>5075000</v>
      </c>
      <c r="D20" s="166">
        <f>1340000+1125000</f>
        <v>2465000</v>
      </c>
      <c r="E20" s="21">
        <v>2600000</v>
      </c>
      <c r="F20" s="148">
        <v>100000</v>
      </c>
      <c r="G20" s="166">
        <v>1255000</v>
      </c>
      <c r="H20" s="21">
        <v>2745000</v>
      </c>
      <c r="I20" s="148">
        <v>585000</v>
      </c>
      <c r="J20" s="166">
        <f>100000+2245000</f>
        <v>2345000</v>
      </c>
      <c r="K20" s="21">
        <v>2970000</v>
      </c>
      <c r="L20" s="148">
        <v>12690000</v>
      </c>
      <c r="M20" s="148">
        <v>500000</v>
      </c>
      <c r="N20" s="148">
        <v>7650000</v>
      </c>
      <c r="O20" s="166">
        <f>555000+1550000</f>
        <v>2105000</v>
      </c>
      <c r="P20" s="177">
        <v>25880000</v>
      </c>
      <c r="Q20" s="149">
        <v>0</v>
      </c>
      <c r="R20" s="148">
        <v>3420000</v>
      </c>
      <c r="S20" s="165">
        <v>2020000</v>
      </c>
      <c r="T20" s="164">
        <v>0</v>
      </c>
      <c r="U20" s="166">
        <v>0</v>
      </c>
      <c r="V20" s="166">
        <v>0</v>
      </c>
      <c r="W20" s="166">
        <v>0</v>
      </c>
      <c r="X20" s="166">
        <f t="shared" si="0"/>
        <v>41145000</v>
      </c>
      <c r="Z20" s="103"/>
      <c r="AA20" s="12"/>
      <c r="AB20" s="12"/>
      <c r="AC20" s="12"/>
      <c r="AD20" s="12"/>
      <c r="AE20" s="12"/>
      <c r="AF20" s="12"/>
    </row>
    <row r="21" spans="1:32" s="112" customFormat="1" ht="15.2" customHeight="1">
      <c r="A21" s="146">
        <f t="shared" si="1"/>
        <v>46751</v>
      </c>
      <c r="B21" s="147"/>
      <c r="C21" s="166">
        <f>4730000+5895000</f>
        <v>10625000</v>
      </c>
      <c r="D21" s="166">
        <f>1750000+1135000</f>
        <v>2885000</v>
      </c>
      <c r="E21" s="21">
        <v>2780000</v>
      </c>
      <c r="F21" s="148">
        <v>100000</v>
      </c>
      <c r="G21" s="166">
        <v>1265000</v>
      </c>
      <c r="H21" s="21">
        <v>3635000</v>
      </c>
      <c r="I21" s="148">
        <v>3040000</v>
      </c>
      <c r="J21" s="166">
        <f>100000+2600000</f>
        <v>2700000</v>
      </c>
      <c r="K21" s="21">
        <v>3245000</v>
      </c>
      <c r="L21" s="148">
        <v>9815000</v>
      </c>
      <c r="M21" s="148">
        <v>500000</v>
      </c>
      <c r="N21" s="148">
        <v>8335000</v>
      </c>
      <c r="O21" s="166">
        <f>585000+2745000</f>
        <v>3330000</v>
      </c>
      <c r="P21" s="177">
        <v>23810000</v>
      </c>
      <c r="Q21" s="149">
        <v>0</v>
      </c>
      <c r="R21" s="148">
        <v>3635000</v>
      </c>
      <c r="S21" s="165">
        <v>1080000</v>
      </c>
      <c r="T21" s="164">
        <v>0</v>
      </c>
      <c r="U21" s="166">
        <v>0</v>
      </c>
      <c r="V21" s="166">
        <v>0</v>
      </c>
      <c r="W21" s="166">
        <v>0</v>
      </c>
      <c r="X21" s="166">
        <f t="shared" si="0"/>
        <v>45695000</v>
      </c>
      <c r="Z21" s="103"/>
      <c r="AA21" s="12"/>
      <c r="AB21" s="12"/>
      <c r="AC21" s="12"/>
      <c r="AD21" s="12"/>
      <c r="AE21" s="12"/>
      <c r="AF21" s="12"/>
    </row>
    <row r="22" spans="1:32" s="112" customFormat="1" ht="15.2" customHeight="1">
      <c r="A22" s="146">
        <f t="shared" si="1"/>
        <v>47116</v>
      </c>
      <c r="B22" s="147"/>
      <c r="C22" s="166">
        <f>23200000+5940000</f>
        <v>29140000</v>
      </c>
      <c r="D22" s="166">
        <f>1905000+1145000</f>
        <v>3050000</v>
      </c>
      <c r="E22" s="21">
        <v>3145000</v>
      </c>
      <c r="F22" s="148">
        <v>100000</v>
      </c>
      <c r="G22" s="166">
        <v>1275000</v>
      </c>
      <c r="H22" s="21">
        <v>3835000</v>
      </c>
      <c r="I22" s="148">
        <v>6560000</v>
      </c>
      <c r="J22" s="166">
        <f>100000+2780000</f>
        <v>2880000</v>
      </c>
      <c r="K22" s="21">
        <v>0</v>
      </c>
      <c r="L22" s="148">
        <v>7015000</v>
      </c>
      <c r="M22" s="148">
        <v>500000</v>
      </c>
      <c r="N22" s="148">
        <v>9640000</v>
      </c>
      <c r="O22" s="166">
        <f>3040000+3635000</f>
        <v>6675000</v>
      </c>
      <c r="P22" s="166">
        <v>3745000</v>
      </c>
      <c r="Q22" s="149">
        <v>0</v>
      </c>
      <c r="R22" s="148">
        <v>3395000</v>
      </c>
      <c r="S22" s="165">
        <v>150000</v>
      </c>
      <c r="T22" s="164">
        <v>0</v>
      </c>
      <c r="U22" s="166">
        <v>0</v>
      </c>
      <c r="V22" s="166">
        <v>0</v>
      </c>
      <c r="W22" s="166">
        <v>0</v>
      </c>
      <c r="X22" s="166">
        <f t="shared" si="0"/>
        <v>46915000</v>
      </c>
      <c r="Z22" s="103"/>
      <c r="AA22" s="12"/>
      <c r="AB22" s="12"/>
      <c r="AC22" s="12"/>
      <c r="AD22" s="12"/>
      <c r="AE22" s="12"/>
      <c r="AF22" s="12"/>
    </row>
    <row r="23" spans="1:32" s="112" customFormat="1" ht="15.2" customHeight="1">
      <c r="A23" s="146">
        <f t="shared" si="1"/>
        <v>47481</v>
      </c>
      <c r="B23" s="147"/>
      <c r="C23" s="166">
        <f>18160000+5575000</f>
        <v>23735000</v>
      </c>
      <c r="D23" s="166">
        <f>5720000+1150000</f>
        <v>6870000</v>
      </c>
      <c r="E23" s="21">
        <v>1165000</v>
      </c>
      <c r="F23" s="148">
        <v>100000</v>
      </c>
      <c r="G23" s="166">
        <v>1290000</v>
      </c>
      <c r="H23" s="21">
        <v>3705000</v>
      </c>
      <c r="I23" s="148">
        <v>8230000</v>
      </c>
      <c r="J23" s="166">
        <f>100000+3145000</f>
        <v>3245000</v>
      </c>
      <c r="K23" s="21">
        <v>0</v>
      </c>
      <c r="L23" s="148">
        <v>6030000</v>
      </c>
      <c r="M23" s="148">
        <v>500000</v>
      </c>
      <c r="N23" s="148">
        <v>10045000</v>
      </c>
      <c r="O23" s="166">
        <f>6560000+3835000</f>
        <v>10395000</v>
      </c>
      <c r="P23" s="166">
        <v>500000</v>
      </c>
      <c r="Q23" s="149">
        <v>0</v>
      </c>
      <c r="R23" s="148">
        <v>3680000</v>
      </c>
      <c r="S23" s="165">
        <v>240000</v>
      </c>
      <c r="T23" s="164">
        <v>0</v>
      </c>
      <c r="U23" s="166">
        <v>0</v>
      </c>
      <c r="V23" s="166">
        <v>0</v>
      </c>
      <c r="W23" s="166">
        <v>0</v>
      </c>
      <c r="X23" s="166">
        <f t="shared" si="0"/>
        <v>46275000</v>
      </c>
      <c r="Z23" s="103"/>
      <c r="AA23" s="12"/>
      <c r="AB23" s="12"/>
      <c r="AC23" s="12"/>
      <c r="AD23" s="12"/>
      <c r="AE23" s="12"/>
      <c r="AF23" s="12"/>
    </row>
    <row r="24" spans="1:32" s="112" customFormat="1" ht="15.2" customHeight="1">
      <c r="A24" s="146">
        <f t="shared" si="1"/>
        <v>47846</v>
      </c>
      <c r="B24" s="147"/>
      <c r="C24" s="166">
        <f>17655000+4195000</f>
        <v>21850000</v>
      </c>
      <c r="D24" s="166">
        <f>1160000+6160000</f>
        <v>7320000</v>
      </c>
      <c r="E24" s="21">
        <v>1255000</v>
      </c>
      <c r="F24" s="148">
        <v>100000</v>
      </c>
      <c r="G24" s="166">
        <v>1300000</v>
      </c>
      <c r="H24" s="21">
        <v>8485000</v>
      </c>
      <c r="I24" s="148">
        <v>5070000</v>
      </c>
      <c r="J24" s="166">
        <f>100000+1165000</f>
        <v>1265000</v>
      </c>
      <c r="K24" s="21">
        <v>0</v>
      </c>
      <c r="L24" s="148">
        <v>6210000</v>
      </c>
      <c r="M24" s="148">
        <v>500000</v>
      </c>
      <c r="N24" s="148">
        <v>10675000</v>
      </c>
      <c r="O24" s="166">
        <f>8230000+3705000</f>
        <v>11935000</v>
      </c>
      <c r="P24" s="166">
        <v>500000</v>
      </c>
      <c r="Q24" s="149">
        <v>0</v>
      </c>
      <c r="R24" s="148">
        <v>3955000</v>
      </c>
      <c r="S24" s="165">
        <v>600000</v>
      </c>
      <c r="T24" s="164">
        <v>0</v>
      </c>
      <c r="U24" s="166">
        <v>0</v>
      </c>
      <c r="V24" s="166">
        <v>0</v>
      </c>
      <c r="W24" s="166">
        <v>0</v>
      </c>
      <c r="X24" s="166">
        <f t="shared" si="0"/>
        <v>44770000</v>
      </c>
      <c r="Z24" s="103"/>
      <c r="AA24" s="12"/>
      <c r="AB24" s="12"/>
      <c r="AC24" s="12"/>
      <c r="AD24" s="12"/>
      <c r="AE24" s="12"/>
      <c r="AF24" s="12"/>
    </row>
    <row r="25" spans="1:32" s="112" customFormat="1" ht="15.2" customHeight="1">
      <c r="A25" s="146">
        <f t="shared" si="1"/>
        <v>48211</v>
      </c>
      <c r="B25" s="147"/>
      <c r="C25" s="166">
        <f>22175000+3370000</f>
        <v>25545000</v>
      </c>
      <c r="D25" s="166">
        <f>2560000+1165000</f>
        <v>3725000</v>
      </c>
      <c r="E25" s="21">
        <v>1790000</v>
      </c>
      <c r="F25" s="148">
        <v>100000</v>
      </c>
      <c r="G25" s="166">
        <v>1415000</v>
      </c>
      <c r="H25" s="21">
        <v>7735000</v>
      </c>
      <c r="I25" s="148">
        <v>5510000</v>
      </c>
      <c r="J25" s="166">
        <f>100000+1255000</f>
        <v>1355000</v>
      </c>
      <c r="K25" s="21">
        <v>0</v>
      </c>
      <c r="L25" s="148">
        <v>6425000</v>
      </c>
      <c r="M25" s="148">
        <v>500000</v>
      </c>
      <c r="N25" s="148">
        <v>12535000</v>
      </c>
      <c r="O25" s="166">
        <f>5070000+8485000</f>
        <v>13555000</v>
      </c>
      <c r="P25" s="166">
        <v>500000</v>
      </c>
      <c r="Q25" s="149">
        <v>0</v>
      </c>
      <c r="R25" s="148">
        <v>0</v>
      </c>
      <c r="S25" s="165">
        <v>710000</v>
      </c>
      <c r="T25" s="164">
        <v>0</v>
      </c>
      <c r="U25" s="166">
        <v>0</v>
      </c>
      <c r="V25" s="166">
        <v>0</v>
      </c>
      <c r="W25" s="166">
        <v>0</v>
      </c>
      <c r="X25" s="166">
        <f t="shared" si="0"/>
        <v>46805000</v>
      </c>
      <c r="Z25" s="103"/>
      <c r="AA25" s="12"/>
      <c r="AB25" s="12"/>
      <c r="AC25" s="12"/>
      <c r="AD25" s="12"/>
      <c r="AE25" s="12"/>
      <c r="AF25" s="12"/>
    </row>
    <row r="26" spans="1:32" s="112" customFormat="1" ht="15.2" customHeight="1">
      <c r="A26" s="146">
        <f t="shared" si="1"/>
        <v>48576</v>
      </c>
      <c r="B26" s="147"/>
      <c r="C26" s="166">
        <f>20890000+2900000</f>
        <v>23790000</v>
      </c>
      <c r="D26" s="166">
        <f>3300000+1175000</f>
        <v>4475000</v>
      </c>
      <c r="E26" s="21">
        <v>1560000</v>
      </c>
      <c r="F26" s="148">
        <v>1540000</v>
      </c>
      <c r="G26" s="166">
        <v>1335000</v>
      </c>
      <c r="H26" s="21">
        <v>9430000</v>
      </c>
      <c r="I26" s="148">
        <v>6000000</v>
      </c>
      <c r="J26" s="166">
        <f>100000+1790000</f>
        <v>1890000</v>
      </c>
      <c r="K26" s="21">
        <v>0</v>
      </c>
      <c r="L26" s="148">
        <v>1390000</v>
      </c>
      <c r="M26" s="148">
        <v>500000</v>
      </c>
      <c r="N26" s="148">
        <v>0</v>
      </c>
      <c r="O26" s="166">
        <v>13245000</v>
      </c>
      <c r="P26" s="166">
        <v>500000</v>
      </c>
      <c r="Q26" s="149">
        <v>5745000</v>
      </c>
      <c r="R26" s="148">
        <v>0</v>
      </c>
      <c r="S26" s="166">
        <v>0</v>
      </c>
      <c r="T26" s="164">
        <v>0</v>
      </c>
      <c r="U26" s="166">
        <v>0</v>
      </c>
      <c r="V26" s="166">
        <v>0</v>
      </c>
      <c r="W26" s="166">
        <v>0</v>
      </c>
      <c r="X26" s="166">
        <f t="shared" si="0"/>
        <v>45235000</v>
      </c>
      <c r="Z26" s="103"/>
      <c r="AA26" s="12"/>
      <c r="AB26" s="12"/>
      <c r="AC26" s="12"/>
      <c r="AD26" s="12"/>
      <c r="AE26" s="12"/>
      <c r="AF26" s="12"/>
    </row>
    <row r="27" spans="1:32" s="112" customFormat="1" ht="15.2" customHeight="1">
      <c r="A27" s="146">
        <f t="shared" si="1"/>
        <v>48941</v>
      </c>
      <c r="B27" s="147"/>
      <c r="C27" s="166">
        <f>2880000+8520000</f>
        <v>11400000</v>
      </c>
      <c r="D27" s="166">
        <f>8655000+1185000</f>
        <v>9840000</v>
      </c>
      <c r="E27" s="21">
        <v>2130000</v>
      </c>
      <c r="F27" s="148">
        <v>1385000</v>
      </c>
      <c r="G27" s="166">
        <v>1890000</v>
      </c>
      <c r="H27" s="21">
        <v>10045000</v>
      </c>
      <c r="I27" s="148">
        <v>4055000</v>
      </c>
      <c r="J27" s="166">
        <f>1540000+1560000</f>
        <v>3100000</v>
      </c>
      <c r="K27" s="21">
        <v>0</v>
      </c>
      <c r="L27" s="148">
        <v>0</v>
      </c>
      <c r="M27" s="148">
        <v>500000</v>
      </c>
      <c r="N27" s="148">
        <v>0</v>
      </c>
      <c r="O27" s="166">
        <v>15430000</v>
      </c>
      <c r="P27" s="166">
        <v>500000</v>
      </c>
      <c r="Q27" s="149">
        <v>5575000</v>
      </c>
      <c r="R27" s="148">
        <v>0</v>
      </c>
      <c r="S27" s="166">
        <v>0</v>
      </c>
      <c r="T27" s="164">
        <v>0</v>
      </c>
      <c r="U27" s="166">
        <v>0</v>
      </c>
      <c r="V27" s="166">
        <v>0</v>
      </c>
      <c r="W27" s="166">
        <v>0</v>
      </c>
      <c r="X27" s="166">
        <f t="shared" si="0"/>
        <v>42160000</v>
      </c>
      <c r="Z27" s="103"/>
      <c r="AA27" s="12"/>
      <c r="AB27" s="12"/>
      <c r="AC27" s="12"/>
      <c r="AD27" s="12"/>
      <c r="AE27" s="12"/>
      <c r="AF27" s="12"/>
    </row>
    <row r="28" spans="1:32" s="112" customFormat="1" ht="15.2" customHeight="1">
      <c r="A28" s="146">
        <f t="shared" si="1"/>
        <v>49306</v>
      </c>
      <c r="B28" s="147"/>
      <c r="C28" s="166">
        <f>5200000+7835000</f>
        <v>13035000</v>
      </c>
      <c r="D28" s="166">
        <f>9125000+1185000</f>
        <v>10310000</v>
      </c>
      <c r="E28" s="21">
        <v>2495000</v>
      </c>
      <c r="F28" s="148">
        <v>2375000</v>
      </c>
      <c r="G28" s="166">
        <v>1365000</v>
      </c>
      <c r="H28" s="21">
        <v>6885000</v>
      </c>
      <c r="I28" s="148">
        <v>0</v>
      </c>
      <c r="J28" s="166">
        <f>1385000+2130000</f>
        <v>3515000</v>
      </c>
      <c r="K28" s="21">
        <v>0</v>
      </c>
      <c r="L28" s="148">
        <v>0</v>
      </c>
      <c r="M28" s="148">
        <v>500000</v>
      </c>
      <c r="N28" s="148">
        <v>0</v>
      </c>
      <c r="O28" s="166">
        <v>14100000</v>
      </c>
      <c r="P28" s="166">
        <v>500000</v>
      </c>
      <c r="Q28" s="149">
        <v>7005000</v>
      </c>
      <c r="R28" s="148">
        <v>0</v>
      </c>
      <c r="S28" s="166">
        <v>0</v>
      </c>
      <c r="T28" s="164">
        <v>0</v>
      </c>
      <c r="U28" s="166">
        <v>0</v>
      </c>
      <c r="V28" s="166">
        <v>0</v>
      </c>
      <c r="W28" s="166">
        <v>0</v>
      </c>
      <c r="X28" s="166">
        <f t="shared" si="0"/>
        <v>42825000</v>
      </c>
      <c r="Z28" s="103"/>
      <c r="AA28" s="12"/>
      <c r="AB28" s="12"/>
      <c r="AC28" s="12"/>
      <c r="AD28" s="12"/>
      <c r="AE28" s="12"/>
      <c r="AF28" s="12"/>
    </row>
    <row r="29" spans="1:32" s="112" customFormat="1" ht="15.2" customHeight="1">
      <c r="A29" s="146">
        <f t="shared" si="1"/>
        <v>49671</v>
      </c>
      <c r="B29" s="147"/>
      <c r="C29" s="166">
        <f>5670000+8155000</f>
        <v>13825000</v>
      </c>
      <c r="D29" s="166">
        <f>10900000+1185000</f>
        <v>12085000</v>
      </c>
      <c r="E29" s="21">
        <v>2365000</v>
      </c>
      <c r="F29" s="148">
        <v>6265000</v>
      </c>
      <c r="G29" s="166">
        <v>1395000</v>
      </c>
      <c r="H29" s="21">
        <v>0</v>
      </c>
      <c r="I29" s="148">
        <v>0</v>
      </c>
      <c r="J29" s="166">
        <f>2375000+2495000</f>
        <v>4870000</v>
      </c>
      <c r="K29" s="21">
        <v>0</v>
      </c>
      <c r="L29" s="148">
        <v>0</v>
      </c>
      <c r="M29" s="148">
        <v>500000</v>
      </c>
      <c r="N29" s="148">
        <v>0</v>
      </c>
      <c r="O29" s="166">
        <v>6885000</v>
      </c>
      <c r="P29" s="166">
        <v>500000</v>
      </c>
      <c r="Q29" s="149">
        <v>7985000</v>
      </c>
      <c r="R29" s="148">
        <v>0</v>
      </c>
      <c r="S29" s="166">
        <v>0</v>
      </c>
      <c r="T29" s="164">
        <v>0</v>
      </c>
      <c r="U29" s="166">
        <v>0</v>
      </c>
      <c r="V29" s="166">
        <v>0</v>
      </c>
      <c r="W29" s="166">
        <v>0</v>
      </c>
      <c r="X29" s="166">
        <f t="shared" si="0"/>
        <v>39560000</v>
      </c>
      <c r="Z29" s="103"/>
      <c r="AA29" s="12"/>
      <c r="AB29" s="12"/>
      <c r="AC29" s="12"/>
      <c r="AD29" s="12"/>
      <c r="AE29" s="12"/>
      <c r="AF29" s="12"/>
    </row>
    <row r="30" spans="1:32" s="112" customFormat="1" ht="15.2" customHeight="1">
      <c r="A30" s="146">
        <f t="shared" si="1"/>
        <v>50036</v>
      </c>
      <c r="B30" s="147"/>
      <c r="C30" s="166">
        <f>4580000+8145000</f>
        <v>12725000</v>
      </c>
      <c r="D30" s="166">
        <f>12540000+1010000</f>
        <v>13550000</v>
      </c>
      <c r="E30" s="21">
        <v>0</v>
      </c>
      <c r="F30" s="148">
        <v>1500000</v>
      </c>
      <c r="G30" s="166">
        <v>3015000</v>
      </c>
      <c r="H30" s="21">
        <v>0</v>
      </c>
      <c r="I30" s="148">
        <v>0</v>
      </c>
      <c r="J30" s="166">
        <f>6265000+2365000</f>
        <v>8630000</v>
      </c>
      <c r="K30" s="21">
        <v>0</v>
      </c>
      <c r="L30" s="148">
        <v>0</v>
      </c>
      <c r="M30" s="148">
        <v>500000</v>
      </c>
      <c r="N30" s="148">
        <v>0</v>
      </c>
      <c r="O30" s="166">
        <v>0</v>
      </c>
      <c r="P30" s="166">
        <v>500000</v>
      </c>
      <c r="Q30" s="149">
        <v>9580000</v>
      </c>
      <c r="R30" s="148">
        <v>0</v>
      </c>
      <c r="S30" s="166">
        <v>0</v>
      </c>
      <c r="T30" s="164">
        <v>0</v>
      </c>
      <c r="U30" s="166">
        <v>0</v>
      </c>
      <c r="V30" s="166">
        <v>0</v>
      </c>
      <c r="W30" s="166">
        <v>0</v>
      </c>
      <c r="X30" s="166">
        <f t="shared" si="0"/>
        <v>38420000</v>
      </c>
      <c r="Z30" s="103"/>
      <c r="AA30" s="12"/>
      <c r="AB30" s="12"/>
      <c r="AC30" s="12"/>
      <c r="AD30" s="12"/>
      <c r="AE30" s="12"/>
      <c r="AF30" s="12"/>
    </row>
    <row r="31" spans="1:32" s="112" customFormat="1" ht="15.2" customHeight="1">
      <c r="A31" s="146">
        <f t="shared" si="1"/>
        <v>50401</v>
      </c>
      <c r="B31" s="147"/>
      <c r="C31" s="166">
        <f>7240000+8000000</f>
        <v>15240000</v>
      </c>
      <c r="D31" s="166">
        <f>15025000+2035000</f>
        <v>17060000</v>
      </c>
      <c r="E31" s="21">
        <v>0</v>
      </c>
      <c r="F31" s="148">
        <v>4600000</v>
      </c>
      <c r="G31" s="166">
        <v>4460000</v>
      </c>
      <c r="H31" s="21">
        <v>0</v>
      </c>
      <c r="I31" s="148">
        <v>0</v>
      </c>
      <c r="J31" s="166">
        <v>1500000</v>
      </c>
      <c r="K31" s="21">
        <v>0</v>
      </c>
      <c r="L31" s="148">
        <v>0</v>
      </c>
      <c r="M31" s="148">
        <v>500000</v>
      </c>
      <c r="N31" s="148">
        <v>0</v>
      </c>
      <c r="O31" s="166">
        <v>0</v>
      </c>
      <c r="P31" s="166">
        <v>500000</v>
      </c>
      <c r="Q31" s="149">
        <v>11735000</v>
      </c>
      <c r="R31" s="148">
        <v>0</v>
      </c>
      <c r="S31" s="166">
        <v>0</v>
      </c>
      <c r="T31" s="164">
        <v>0</v>
      </c>
      <c r="U31" s="166">
        <v>0</v>
      </c>
      <c r="V31" s="166">
        <v>0</v>
      </c>
      <c r="W31" s="166">
        <v>0</v>
      </c>
      <c r="X31" s="166">
        <f t="shared" si="0"/>
        <v>38760000</v>
      </c>
      <c r="Z31" s="103"/>
      <c r="AA31" s="12"/>
      <c r="AB31" s="12"/>
      <c r="AC31" s="12"/>
      <c r="AD31" s="12"/>
      <c r="AE31" s="12"/>
      <c r="AF31" s="12"/>
    </row>
    <row r="32" spans="1:32" s="112" customFormat="1" ht="15.2" customHeight="1">
      <c r="A32" s="146">
        <f t="shared" si="1"/>
        <v>50766</v>
      </c>
      <c r="B32" s="147"/>
      <c r="C32" s="166">
        <f>11205000+8450000</f>
        <v>19655000</v>
      </c>
      <c r="D32" s="166">
        <f>11750000+2040000</f>
        <v>13790000</v>
      </c>
      <c r="E32" s="21">
        <v>0</v>
      </c>
      <c r="F32" s="148">
        <v>6965000</v>
      </c>
      <c r="G32" s="166">
        <v>2100000</v>
      </c>
      <c r="H32" s="21"/>
      <c r="I32" s="148"/>
      <c r="J32" s="166">
        <v>4600000</v>
      </c>
      <c r="K32" s="21"/>
      <c r="L32" s="148"/>
      <c r="M32" s="148">
        <v>2620000</v>
      </c>
      <c r="N32" s="148"/>
      <c r="O32" s="166">
        <v>0</v>
      </c>
      <c r="P32" s="166">
        <v>500000</v>
      </c>
      <c r="Q32" s="149"/>
      <c r="R32" s="148"/>
      <c r="S32" s="166">
        <v>0</v>
      </c>
      <c r="T32" s="164">
        <v>0</v>
      </c>
      <c r="U32" s="166">
        <v>0</v>
      </c>
      <c r="V32" s="166">
        <v>0</v>
      </c>
      <c r="W32" s="166">
        <v>0</v>
      </c>
      <c r="X32" s="166">
        <f t="shared" si="0"/>
        <v>40645000</v>
      </c>
      <c r="Z32" s="103"/>
      <c r="AA32" s="12"/>
      <c r="AB32" s="12"/>
      <c r="AC32" s="12"/>
      <c r="AD32" s="12"/>
      <c r="AE32" s="12"/>
      <c r="AF32" s="12"/>
    </row>
    <row r="33" spans="1:32" s="112" customFormat="1" ht="15.2" customHeight="1">
      <c r="A33" s="146">
        <f t="shared" ref="A33:A41" si="2">A32+365</f>
        <v>51131</v>
      </c>
      <c r="B33" s="147"/>
      <c r="C33" s="166">
        <f>19800000+9575000</f>
        <v>29375000</v>
      </c>
      <c r="D33" s="166">
        <v>1270000</v>
      </c>
      <c r="E33" s="21">
        <v>0</v>
      </c>
      <c r="F33" s="148">
        <v>15015000</v>
      </c>
      <c r="G33" s="166">
        <v>2390000</v>
      </c>
      <c r="H33" s="21"/>
      <c r="I33" s="148"/>
      <c r="J33" s="166">
        <v>6965000</v>
      </c>
      <c r="K33" s="21"/>
      <c r="L33" s="148"/>
      <c r="M33" s="148">
        <v>6565000</v>
      </c>
      <c r="N33" s="148"/>
      <c r="O33" s="166">
        <v>0</v>
      </c>
      <c r="P33" s="166">
        <v>2620000</v>
      </c>
      <c r="Q33" s="149"/>
      <c r="R33" s="148"/>
      <c r="S33" s="166">
        <v>0</v>
      </c>
      <c r="T33" s="164">
        <v>0</v>
      </c>
      <c r="U33" s="166">
        <v>0</v>
      </c>
      <c r="V33" s="166">
        <v>0</v>
      </c>
      <c r="W33" s="166">
        <v>0</v>
      </c>
      <c r="X33" s="166">
        <f t="shared" si="0"/>
        <v>42620000</v>
      </c>
      <c r="Z33" s="103"/>
      <c r="AA33" s="12"/>
      <c r="AB33" s="12"/>
      <c r="AC33" s="12"/>
      <c r="AD33" s="12"/>
      <c r="AE33" s="12"/>
      <c r="AF33" s="12"/>
    </row>
    <row r="34" spans="1:32" s="112" customFormat="1" ht="15.2" customHeight="1">
      <c r="A34" s="146">
        <f t="shared" si="2"/>
        <v>51496</v>
      </c>
      <c r="B34" s="147"/>
      <c r="C34" s="166">
        <v>8475000</v>
      </c>
      <c r="D34" s="166">
        <v>2135000</v>
      </c>
      <c r="E34" s="21">
        <v>0</v>
      </c>
      <c r="F34" s="148">
        <v>15815000</v>
      </c>
      <c r="G34" s="166">
        <v>12320000</v>
      </c>
      <c r="H34" s="21"/>
      <c r="I34" s="148"/>
      <c r="J34" s="166">
        <v>15015000</v>
      </c>
      <c r="K34" s="21"/>
      <c r="L34" s="148"/>
      <c r="M34" s="148">
        <v>7120000</v>
      </c>
      <c r="N34" s="148"/>
      <c r="O34" s="166">
        <v>0</v>
      </c>
      <c r="P34" s="166">
        <v>6565000</v>
      </c>
      <c r="Q34" s="149"/>
      <c r="R34" s="148"/>
      <c r="S34" s="166">
        <v>0</v>
      </c>
      <c r="T34" s="164">
        <v>0</v>
      </c>
      <c r="U34" s="166">
        <v>0</v>
      </c>
      <c r="V34" s="166">
        <v>0</v>
      </c>
      <c r="W34" s="166">
        <v>0</v>
      </c>
      <c r="X34" s="166">
        <f t="shared" si="0"/>
        <v>44510000</v>
      </c>
      <c r="Z34" s="103"/>
      <c r="AA34" s="12"/>
      <c r="AB34" s="12"/>
      <c r="AC34" s="12"/>
      <c r="AD34" s="12"/>
      <c r="AE34" s="12"/>
      <c r="AF34" s="12"/>
    </row>
    <row r="35" spans="1:32" s="112" customFormat="1" ht="15.2" customHeight="1">
      <c r="A35" s="146">
        <f t="shared" si="2"/>
        <v>51861</v>
      </c>
      <c r="B35" s="147"/>
      <c r="C35" s="166">
        <v>8945000</v>
      </c>
      <c r="D35" s="166">
        <v>2300000</v>
      </c>
      <c r="E35" s="21">
        <v>0</v>
      </c>
      <c r="F35" s="148">
        <v>16660000</v>
      </c>
      <c r="G35" s="166">
        <v>12955000</v>
      </c>
      <c r="H35" s="21"/>
      <c r="I35" s="148"/>
      <c r="J35" s="166">
        <v>15815000</v>
      </c>
      <c r="K35" s="21"/>
      <c r="L35" s="148"/>
      <c r="M35" s="148">
        <v>7700000</v>
      </c>
      <c r="N35" s="148"/>
      <c r="O35" s="166">
        <v>0</v>
      </c>
      <c r="P35" s="166">
        <v>7120000</v>
      </c>
      <c r="Q35" s="149"/>
      <c r="R35" s="148"/>
      <c r="S35" s="166">
        <v>0</v>
      </c>
      <c r="T35" s="164">
        <v>0</v>
      </c>
      <c r="U35" s="166">
        <v>0</v>
      </c>
      <c r="V35" s="166">
        <v>0</v>
      </c>
      <c r="W35" s="166">
        <v>0</v>
      </c>
      <c r="X35" s="166">
        <f t="shared" si="0"/>
        <v>47135000</v>
      </c>
      <c r="Z35" s="103"/>
      <c r="AA35" s="12"/>
      <c r="AB35" s="12"/>
      <c r="AC35" s="12"/>
      <c r="AD35" s="12"/>
      <c r="AE35" s="12"/>
      <c r="AF35" s="12"/>
    </row>
    <row r="36" spans="1:32" s="112" customFormat="1" ht="15.2" customHeight="1">
      <c r="A36" s="146">
        <f t="shared" si="2"/>
        <v>52226</v>
      </c>
      <c r="B36" s="147"/>
      <c r="C36" s="166">
        <v>9435000</v>
      </c>
      <c r="D36" s="166">
        <v>2505000</v>
      </c>
      <c r="E36" s="21"/>
      <c r="F36" s="148"/>
      <c r="G36" s="166">
        <v>13585000</v>
      </c>
      <c r="H36" s="21"/>
      <c r="I36" s="148"/>
      <c r="J36" s="166">
        <v>16660000</v>
      </c>
      <c r="K36" s="21"/>
      <c r="L36" s="148"/>
      <c r="M36" s="148">
        <v>8315000</v>
      </c>
      <c r="N36" s="148"/>
      <c r="O36" s="166">
        <v>0</v>
      </c>
      <c r="P36" s="166">
        <v>7700000</v>
      </c>
      <c r="Q36" s="149"/>
      <c r="R36" s="148"/>
      <c r="S36" s="166">
        <v>0</v>
      </c>
      <c r="T36" s="164">
        <v>0</v>
      </c>
      <c r="U36" s="166">
        <v>0</v>
      </c>
      <c r="V36" s="166">
        <v>0</v>
      </c>
      <c r="W36" s="166">
        <v>0</v>
      </c>
      <c r="X36" s="166">
        <f t="shared" si="0"/>
        <v>49885000</v>
      </c>
      <c r="Z36" s="103"/>
      <c r="AA36" s="12"/>
      <c r="AB36" s="12"/>
      <c r="AC36" s="12"/>
      <c r="AD36" s="12"/>
      <c r="AE36" s="12"/>
      <c r="AF36" s="12"/>
    </row>
    <row r="37" spans="1:32" s="112" customFormat="1" ht="15.2" customHeight="1">
      <c r="A37" s="146">
        <f t="shared" si="2"/>
        <v>52591</v>
      </c>
      <c r="B37" s="147"/>
      <c r="C37" s="166">
        <v>9945000</v>
      </c>
      <c r="D37" s="166">
        <v>16805000</v>
      </c>
      <c r="E37" s="21"/>
      <c r="F37" s="148"/>
      <c r="G37" s="166">
        <v>17610000</v>
      </c>
      <c r="H37" s="21"/>
      <c r="I37" s="148"/>
      <c r="J37" s="166">
        <v>0</v>
      </c>
      <c r="K37" s="21"/>
      <c r="L37" s="148"/>
      <c r="M37" s="148">
        <v>8965000</v>
      </c>
      <c r="N37" s="148"/>
      <c r="O37" s="166">
        <v>0</v>
      </c>
      <c r="P37" s="166">
        <v>8315000</v>
      </c>
      <c r="Q37" s="149"/>
      <c r="R37" s="148"/>
      <c r="S37" s="166">
        <v>0</v>
      </c>
      <c r="T37" s="164">
        <v>0</v>
      </c>
      <c r="U37" s="166">
        <v>0</v>
      </c>
      <c r="V37" s="166">
        <v>0</v>
      </c>
      <c r="W37" s="166">
        <v>0</v>
      </c>
      <c r="X37" s="166">
        <f t="shared" si="0"/>
        <v>52675000</v>
      </c>
      <c r="Z37" s="103"/>
      <c r="AA37" s="12"/>
      <c r="AB37" s="12"/>
      <c r="AC37" s="12"/>
      <c r="AD37" s="12"/>
      <c r="AE37" s="12"/>
      <c r="AF37" s="12"/>
    </row>
    <row r="38" spans="1:32" s="112" customFormat="1" ht="15.2" customHeight="1">
      <c r="A38" s="146">
        <f t="shared" si="2"/>
        <v>52956</v>
      </c>
      <c r="B38" s="147"/>
      <c r="C38" s="166">
        <v>11455000</v>
      </c>
      <c r="D38" s="166">
        <v>35090000</v>
      </c>
      <c r="E38" s="21">
        <v>0</v>
      </c>
      <c r="F38" s="148">
        <v>0</v>
      </c>
      <c r="G38" s="166">
        <v>0</v>
      </c>
      <c r="H38" s="21">
        <v>0</v>
      </c>
      <c r="I38" s="148">
        <v>0</v>
      </c>
      <c r="J38" s="166">
        <v>0</v>
      </c>
      <c r="K38" s="21">
        <v>0</v>
      </c>
      <c r="L38" s="148">
        <v>0</v>
      </c>
      <c r="M38" s="148">
        <v>9650000</v>
      </c>
      <c r="N38" s="148">
        <v>0</v>
      </c>
      <c r="O38" s="166">
        <v>0</v>
      </c>
      <c r="P38" s="166">
        <v>8965000</v>
      </c>
      <c r="Q38" s="149">
        <v>0</v>
      </c>
      <c r="R38" s="148">
        <v>0</v>
      </c>
      <c r="S38" s="166">
        <v>0</v>
      </c>
      <c r="T38" s="164">
        <v>0</v>
      </c>
      <c r="U38" s="166">
        <v>0</v>
      </c>
      <c r="V38" s="166">
        <v>0</v>
      </c>
      <c r="W38" s="166">
        <v>0</v>
      </c>
      <c r="X38" s="166">
        <f t="shared" si="0"/>
        <v>55510000</v>
      </c>
      <c r="Z38" s="103"/>
      <c r="AA38" s="12"/>
      <c r="AB38" s="12"/>
      <c r="AC38" s="12"/>
      <c r="AD38" s="12"/>
      <c r="AE38" s="12"/>
      <c r="AF38" s="12"/>
    </row>
    <row r="39" spans="1:32" s="112" customFormat="1" ht="15.2" customHeight="1">
      <c r="A39" s="146">
        <f t="shared" si="2"/>
        <v>53321</v>
      </c>
      <c r="B39" s="147"/>
      <c r="C39" s="166">
        <v>33735000</v>
      </c>
      <c r="D39" s="166">
        <v>0</v>
      </c>
      <c r="E39" s="21"/>
      <c r="F39" s="148"/>
      <c r="G39" s="166">
        <v>0</v>
      </c>
      <c r="H39" s="21"/>
      <c r="I39" s="148"/>
      <c r="J39" s="166">
        <v>0</v>
      </c>
      <c r="K39" s="21"/>
      <c r="L39" s="148"/>
      <c r="M39" s="148">
        <v>8315000</v>
      </c>
      <c r="N39" s="148"/>
      <c r="O39" s="166">
        <v>0</v>
      </c>
      <c r="P39" s="166">
        <v>9650000</v>
      </c>
      <c r="Q39" s="149"/>
      <c r="R39" s="148"/>
      <c r="S39" s="166">
        <v>0</v>
      </c>
      <c r="T39" s="164">
        <v>0</v>
      </c>
      <c r="U39" s="166">
        <v>0</v>
      </c>
      <c r="V39" s="166">
        <v>0</v>
      </c>
      <c r="W39" s="166">
        <v>0</v>
      </c>
      <c r="X39" s="166">
        <f t="shared" si="0"/>
        <v>43385000</v>
      </c>
      <c r="Z39" s="103"/>
      <c r="AA39" s="12"/>
      <c r="AB39" s="12"/>
      <c r="AC39" s="12"/>
      <c r="AD39" s="12"/>
      <c r="AE39" s="12"/>
      <c r="AF39" s="12"/>
    </row>
    <row r="40" spans="1:32" s="112" customFormat="1" ht="15.2" customHeight="1">
      <c r="A40" s="146">
        <f t="shared" si="2"/>
        <v>53686</v>
      </c>
      <c r="B40" s="147"/>
      <c r="C40" s="166">
        <v>0</v>
      </c>
      <c r="D40" s="166">
        <v>0</v>
      </c>
      <c r="E40" s="21"/>
      <c r="F40" s="148"/>
      <c r="G40" s="166">
        <v>0</v>
      </c>
      <c r="H40" s="21"/>
      <c r="I40" s="148"/>
      <c r="J40" s="166">
        <v>0</v>
      </c>
      <c r="K40" s="21"/>
      <c r="L40" s="148"/>
      <c r="M40" s="148">
        <v>8965000</v>
      </c>
      <c r="N40" s="148"/>
      <c r="O40" s="166">
        <v>0</v>
      </c>
      <c r="P40" s="166">
        <v>0</v>
      </c>
      <c r="Q40" s="149"/>
      <c r="R40" s="148"/>
      <c r="S40" s="166">
        <v>0</v>
      </c>
      <c r="T40" s="164">
        <v>0</v>
      </c>
      <c r="U40" s="166">
        <v>0</v>
      </c>
      <c r="V40" s="166">
        <v>0</v>
      </c>
      <c r="W40" s="166">
        <v>0</v>
      </c>
      <c r="X40" s="166">
        <f t="shared" si="0"/>
        <v>0</v>
      </c>
      <c r="Z40" s="103"/>
      <c r="AA40" s="12"/>
      <c r="AB40" s="12"/>
      <c r="AC40" s="12"/>
      <c r="AD40" s="12"/>
      <c r="AE40" s="12"/>
      <c r="AF40" s="12"/>
    </row>
    <row r="41" spans="1:32" s="112" customFormat="1" ht="17.25">
      <c r="A41" s="146">
        <f t="shared" si="2"/>
        <v>54051</v>
      </c>
      <c r="B41" s="147"/>
      <c r="C41" s="167">
        <v>0</v>
      </c>
      <c r="D41" s="167">
        <v>0</v>
      </c>
      <c r="E41" s="170">
        <v>0</v>
      </c>
      <c r="F41" s="150">
        <v>0</v>
      </c>
      <c r="G41" s="167">
        <v>0</v>
      </c>
      <c r="H41" s="170">
        <v>0</v>
      </c>
      <c r="I41" s="150">
        <v>0</v>
      </c>
      <c r="J41" s="167">
        <v>0</v>
      </c>
      <c r="K41" s="170">
        <v>0</v>
      </c>
      <c r="L41" s="150">
        <v>0</v>
      </c>
      <c r="M41" s="150">
        <v>9650000</v>
      </c>
      <c r="N41" s="150">
        <v>0</v>
      </c>
      <c r="O41" s="167">
        <v>0</v>
      </c>
      <c r="P41" s="167">
        <v>0</v>
      </c>
      <c r="Q41" s="151">
        <v>0</v>
      </c>
      <c r="R41" s="150">
        <v>0</v>
      </c>
      <c r="S41" s="167">
        <v>0</v>
      </c>
      <c r="T41" s="167">
        <v>0</v>
      </c>
      <c r="U41" s="167">
        <v>0</v>
      </c>
      <c r="V41" s="167">
        <v>0</v>
      </c>
      <c r="W41" s="167">
        <v>0</v>
      </c>
      <c r="X41" s="167">
        <f t="shared" si="0"/>
        <v>0</v>
      </c>
      <c r="Z41" s="103"/>
      <c r="AA41" s="12"/>
      <c r="AB41" s="12"/>
      <c r="AC41" s="12"/>
      <c r="AD41" s="12"/>
      <c r="AE41" s="12"/>
      <c r="AF41" s="12"/>
    </row>
    <row r="42" spans="1:32" s="112" customFormat="1" ht="17.25">
      <c r="A42" s="146"/>
      <c r="B42" s="147"/>
      <c r="C42" s="167"/>
      <c r="D42" s="167"/>
      <c r="E42" s="170"/>
      <c r="F42" s="150"/>
      <c r="G42" s="167"/>
      <c r="H42" s="170"/>
      <c r="I42" s="150"/>
      <c r="J42" s="167"/>
      <c r="K42" s="170"/>
      <c r="L42" s="150"/>
      <c r="M42" s="150"/>
      <c r="N42" s="150"/>
      <c r="O42" s="167"/>
      <c r="P42" s="167"/>
      <c r="Q42" s="151"/>
      <c r="R42" s="150"/>
      <c r="S42" s="167"/>
      <c r="T42" s="167"/>
      <c r="U42" s="167"/>
      <c r="V42" s="167"/>
      <c r="W42" s="167"/>
      <c r="X42" s="167"/>
      <c r="Z42" s="103"/>
      <c r="AA42" s="12"/>
      <c r="AB42" s="12"/>
      <c r="AC42" s="12"/>
      <c r="AD42" s="12"/>
      <c r="AE42" s="12"/>
      <c r="AF42" s="12"/>
    </row>
    <row r="43" spans="1:32" s="112" customFormat="1" ht="15.2" customHeight="1" thickBot="1">
      <c r="A43" s="152" t="s">
        <v>150</v>
      </c>
      <c r="B43" s="153"/>
      <c r="C43" s="168">
        <f t="shared" ref="C43:N43" si="3">SUM(C14:C41)</f>
        <v>357974960.75</v>
      </c>
      <c r="D43" s="168">
        <f t="shared" si="3"/>
        <v>179550000</v>
      </c>
      <c r="E43" s="171">
        <f t="shared" si="3"/>
        <v>29480000</v>
      </c>
      <c r="F43" s="154">
        <f t="shared" si="3"/>
        <v>76570000</v>
      </c>
      <c r="G43" s="168">
        <f t="shared" si="3"/>
        <v>88975000</v>
      </c>
      <c r="H43" s="171">
        <f t="shared" si="3"/>
        <v>63030000</v>
      </c>
      <c r="I43" s="154">
        <f t="shared" si="3"/>
        <v>42110000</v>
      </c>
      <c r="J43" s="168">
        <f t="shared" si="3"/>
        <v>106050000</v>
      </c>
      <c r="K43" s="171">
        <f t="shared" si="3"/>
        <v>56540000</v>
      </c>
      <c r="L43" s="154">
        <f t="shared" si="3"/>
        <v>112375000</v>
      </c>
      <c r="M43" s="154">
        <f t="shared" si="3"/>
        <v>86865000</v>
      </c>
      <c r="N43" s="154">
        <f t="shared" si="3"/>
        <v>78670000</v>
      </c>
      <c r="O43" s="168">
        <f t="shared" ref="O43:X43" si="4">SUM(O14:O41)</f>
        <v>105140000</v>
      </c>
      <c r="P43" s="168">
        <f t="shared" si="4"/>
        <v>208395000</v>
      </c>
      <c r="Q43" s="155">
        <f t="shared" si="4"/>
        <v>47625000</v>
      </c>
      <c r="R43" s="154">
        <f t="shared" si="4"/>
        <v>36255000</v>
      </c>
      <c r="S43" s="168">
        <f t="shared" si="4"/>
        <v>6705000</v>
      </c>
      <c r="T43" s="168">
        <f t="shared" si="4"/>
        <v>8960000</v>
      </c>
      <c r="U43" s="168">
        <f t="shared" si="4"/>
        <v>7265000</v>
      </c>
      <c r="V43" s="168">
        <f t="shared" si="4"/>
        <v>24781</v>
      </c>
      <c r="W43" s="168">
        <f t="shared" si="4"/>
        <v>0</v>
      </c>
      <c r="X43" s="168">
        <f t="shared" si="4"/>
        <v>1069039741.75</v>
      </c>
      <c r="Z43" s="103"/>
      <c r="AA43" s="12"/>
      <c r="AB43" s="12"/>
      <c r="AC43" s="12"/>
      <c r="AD43" s="12"/>
      <c r="AE43" s="12"/>
      <c r="AF43" s="12"/>
    </row>
    <row r="44" spans="1:32" s="111" customFormat="1" ht="12.75">
      <c r="B44" s="156"/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  <c r="T44" s="156"/>
      <c r="U44" s="156"/>
      <c r="V44" s="156"/>
      <c r="W44" s="156"/>
    </row>
    <row r="45" spans="1:32" s="111" customFormat="1" ht="12.75">
      <c r="A45" s="156"/>
      <c r="B45" s="156"/>
      <c r="C45" s="156"/>
      <c r="D45" s="156"/>
      <c r="E45" s="156"/>
      <c r="F45" s="156"/>
      <c r="G45" s="156"/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  <c r="T45" s="156"/>
      <c r="U45" s="156"/>
      <c r="V45" s="156"/>
      <c r="W45" s="156"/>
      <c r="X45" s="111">
        <f>+C43+D43+G43+J43+O43+P43+S43+T43+U43+V43</f>
        <v>1069039741.75</v>
      </c>
    </row>
    <row r="46" spans="1:32" s="111" customFormat="1" ht="12.75">
      <c r="A46" s="156"/>
      <c r="B46" s="156"/>
      <c r="C46" s="156"/>
      <c r="D46" s="156"/>
      <c r="E46" s="156"/>
      <c r="F46" s="156"/>
      <c r="G46" s="156"/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  <c r="T46" s="156"/>
      <c r="U46" s="156"/>
      <c r="V46" s="156"/>
      <c r="W46" s="156"/>
    </row>
    <row r="47" spans="1:32" s="111" customFormat="1" ht="12.75"/>
    <row r="48" spans="1:32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</sheetData>
  <mergeCells count="7">
    <mergeCell ref="Z14:AF14"/>
    <mergeCell ref="A1:P1"/>
    <mergeCell ref="S1:X1"/>
    <mergeCell ref="A2:P2"/>
    <mergeCell ref="S2:X2"/>
    <mergeCell ref="A3:P3"/>
    <mergeCell ref="S3:X3"/>
  </mergeCell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120"/>
  <sheetViews>
    <sheetView workbookViewId="0">
      <selection activeCell="K22" sqref="K22"/>
    </sheetView>
  </sheetViews>
  <sheetFormatPr defaultColWidth="5.7109375" defaultRowHeight="15.75"/>
  <cols>
    <col min="1" max="1" width="18.28515625" style="100" customWidth="1"/>
    <col min="2" max="2" width="3.7109375" style="100" customWidth="1"/>
    <col min="3" max="3" width="22.28515625" style="100" customWidth="1"/>
    <col min="4" max="4" width="1.7109375" style="100" customWidth="1"/>
    <col min="5" max="5" width="22.28515625" style="100" customWidth="1"/>
    <col min="6" max="6" width="3.7109375" style="100" customWidth="1"/>
    <col min="7" max="7" width="22.28515625" style="100" customWidth="1"/>
    <col min="8" max="16384" width="5.7109375" style="100"/>
  </cols>
  <sheetData>
    <row r="1" spans="1:7" s="98" customFormat="1">
      <c r="A1" s="209" t="s">
        <v>0</v>
      </c>
      <c r="B1" s="209"/>
      <c r="C1" s="209"/>
      <c r="D1" s="209"/>
      <c r="E1" s="209"/>
      <c r="F1" s="209"/>
      <c r="G1" s="209"/>
    </row>
    <row r="2" spans="1:7" s="98" customFormat="1">
      <c r="A2" s="209" t="s">
        <v>113</v>
      </c>
      <c r="B2" s="209"/>
      <c r="C2" s="209"/>
      <c r="D2" s="209"/>
      <c r="E2" s="209"/>
      <c r="F2" s="209"/>
      <c r="G2" s="209"/>
    </row>
    <row r="3" spans="1:7" s="98" customFormat="1">
      <c r="A3" s="209" t="s">
        <v>151</v>
      </c>
      <c r="B3" s="209"/>
      <c r="C3" s="209"/>
      <c r="D3" s="209"/>
      <c r="E3" s="209"/>
      <c r="F3" s="209"/>
      <c r="G3" s="209"/>
    </row>
    <row r="4" spans="1:7">
      <c r="A4" s="99"/>
    </row>
    <row r="5" spans="1:7">
      <c r="A5" s="101" t="s">
        <v>114</v>
      </c>
      <c r="B5" s="102"/>
      <c r="C5" s="102" t="s">
        <v>115</v>
      </c>
      <c r="D5" s="102"/>
      <c r="E5" s="102" t="s">
        <v>116</v>
      </c>
      <c r="F5" s="102"/>
      <c r="G5" s="102" t="s">
        <v>64</v>
      </c>
    </row>
    <row r="6" spans="1:7" s="105" customFormat="1" ht="15">
      <c r="A6" s="103">
        <v>44196</v>
      </c>
      <c r="B6" s="12"/>
      <c r="C6" s="104">
        <v>3744469</v>
      </c>
      <c r="D6" s="12"/>
      <c r="E6" s="104">
        <f>17951852.74+1670530.5</f>
        <v>19622383.239999998</v>
      </c>
      <c r="F6" s="12"/>
      <c r="G6" s="104">
        <f>+C6+E6</f>
        <v>23366852.239999998</v>
      </c>
    </row>
    <row r="7" spans="1:7" s="105" customFormat="1" ht="15">
      <c r="A7" s="103">
        <v>44561</v>
      </c>
      <c r="B7" s="12"/>
      <c r="C7" s="12">
        <v>24373532.949999999</v>
      </c>
      <c r="D7" s="12"/>
      <c r="E7" s="12">
        <f>43679609.06+14506467.5</f>
        <v>58186076.560000002</v>
      </c>
      <c r="F7" s="12"/>
      <c r="G7" s="12">
        <f t="shared" ref="G7:G32" si="0">+C7+E7</f>
        <v>82559609.510000005</v>
      </c>
    </row>
    <row r="8" spans="1:7" s="105" customFormat="1" ht="15">
      <c r="A8" s="103">
        <v>44926</v>
      </c>
      <c r="B8" s="12"/>
      <c r="C8" s="12">
        <v>35641147</v>
      </c>
      <c r="D8" s="12"/>
      <c r="E8" s="12">
        <f>42321140.31+293853</f>
        <v>42614993.310000002</v>
      </c>
      <c r="F8" s="12"/>
      <c r="G8" s="12">
        <f t="shared" si="0"/>
        <v>78256140.310000002</v>
      </c>
    </row>
    <row r="9" spans="1:7" s="105" customFormat="1" ht="15">
      <c r="A9" s="103">
        <v>45291</v>
      </c>
      <c r="B9" s="12"/>
      <c r="C9" s="12">
        <v>33564545.950000003</v>
      </c>
      <c r="D9" s="12"/>
      <c r="E9" s="12">
        <f>40695484.06+290454.05</f>
        <v>40985938.109999999</v>
      </c>
      <c r="F9" s="12"/>
      <c r="G9" s="12">
        <f t="shared" si="0"/>
        <v>74550484.060000002</v>
      </c>
    </row>
    <row r="10" spans="1:7" s="105" customFormat="1" ht="15">
      <c r="A10" s="103">
        <v>45657</v>
      </c>
      <c r="B10" s="12"/>
      <c r="C10" s="12">
        <v>36778477</v>
      </c>
      <c r="D10" s="12">
        <f>39028809.06+296523</f>
        <v>39325332.060000002</v>
      </c>
      <c r="E10" s="12">
        <f>39028809.06+296523</f>
        <v>39325332.060000002</v>
      </c>
      <c r="F10" s="12"/>
      <c r="G10" s="12">
        <f t="shared" si="0"/>
        <v>76103809.060000002</v>
      </c>
    </row>
    <row r="11" spans="1:7" s="105" customFormat="1" ht="15">
      <c r="A11" s="103">
        <v>46022</v>
      </c>
      <c r="B11" s="12"/>
      <c r="C11" s="12">
        <v>40007569.450000003</v>
      </c>
      <c r="D11" s="12"/>
      <c r="E11" s="12">
        <f>37172209.06+292430.55</f>
        <v>37464639.609999999</v>
      </c>
      <c r="F11" s="12"/>
      <c r="G11" s="12">
        <f t="shared" si="0"/>
        <v>77472209.060000002</v>
      </c>
    </row>
    <row r="12" spans="1:7" s="105" customFormat="1" ht="15">
      <c r="A12" s="103">
        <v>46387</v>
      </c>
      <c r="B12" s="12"/>
      <c r="C12" s="12">
        <v>41145000</v>
      </c>
      <c r="D12" s="12"/>
      <c r="E12" s="12">
        <v>35166184.060000002</v>
      </c>
      <c r="F12" s="12"/>
      <c r="G12" s="12">
        <f t="shared" si="0"/>
        <v>76311184.060000002</v>
      </c>
    </row>
    <row r="13" spans="1:7" s="105" customFormat="1" ht="15">
      <c r="A13" s="103">
        <v>46752</v>
      </c>
      <c r="B13" s="12"/>
      <c r="C13" s="12">
        <v>45695000</v>
      </c>
      <c r="D13" s="12"/>
      <c r="E13" s="12">
        <v>33025084.059999999</v>
      </c>
      <c r="F13" s="12"/>
      <c r="G13" s="12">
        <f t="shared" si="0"/>
        <v>78720084.060000002</v>
      </c>
    </row>
    <row r="14" spans="1:7" s="105" customFormat="1" ht="15">
      <c r="A14" s="103">
        <v>47118</v>
      </c>
      <c r="B14" s="12"/>
      <c r="C14" s="12">
        <v>46915000</v>
      </c>
      <c r="D14" s="12"/>
      <c r="E14" s="12">
        <v>30740834.059999999</v>
      </c>
      <c r="F14" s="12"/>
      <c r="G14" s="12">
        <f t="shared" si="0"/>
        <v>77655834.060000002</v>
      </c>
    </row>
    <row r="15" spans="1:7" s="105" customFormat="1" ht="15">
      <c r="A15" s="103">
        <v>47483</v>
      </c>
      <c r="B15" s="12"/>
      <c r="C15" s="12">
        <v>46275000</v>
      </c>
      <c r="D15" s="12">
        <v>28437209.059999999</v>
      </c>
      <c r="E15" s="12">
        <v>28437209.059999999</v>
      </c>
      <c r="F15" s="12"/>
      <c r="G15" s="12">
        <f t="shared" si="0"/>
        <v>74712209.060000002</v>
      </c>
    </row>
    <row r="16" spans="1:7" s="105" customFormat="1" ht="15">
      <c r="A16" s="103">
        <v>47848</v>
      </c>
      <c r="B16" s="12"/>
      <c r="C16" s="12">
        <v>44770000</v>
      </c>
      <c r="D16" s="12"/>
      <c r="E16" s="12">
        <v>26285217.260000002</v>
      </c>
      <c r="F16" s="12"/>
      <c r="G16" s="12">
        <f t="shared" si="0"/>
        <v>71055217.260000005</v>
      </c>
    </row>
    <row r="17" spans="1:7" s="105" customFormat="1" ht="15">
      <c r="A17" s="103">
        <v>48213</v>
      </c>
      <c r="B17" s="12"/>
      <c r="C17" s="12">
        <v>46805000</v>
      </c>
      <c r="D17" s="12"/>
      <c r="E17" s="12">
        <v>24552117.16</v>
      </c>
      <c r="F17" s="12"/>
      <c r="G17" s="12">
        <f t="shared" si="0"/>
        <v>71357117.159999996</v>
      </c>
    </row>
    <row r="18" spans="1:7" s="105" customFormat="1" ht="15">
      <c r="A18" s="103">
        <v>48579</v>
      </c>
      <c r="B18" s="12"/>
      <c r="C18" s="12">
        <v>45235000</v>
      </c>
      <c r="D18" s="12"/>
      <c r="E18" s="12">
        <v>23160917.16</v>
      </c>
      <c r="F18" s="12"/>
      <c r="G18" s="12">
        <f t="shared" si="0"/>
        <v>68395917.159999996</v>
      </c>
    </row>
    <row r="19" spans="1:7" s="105" customFormat="1" ht="15">
      <c r="A19" s="103">
        <v>48944</v>
      </c>
      <c r="B19" s="12"/>
      <c r="C19" s="12">
        <v>42160000</v>
      </c>
      <c r="D19" s="12">
        <v>21721830.280000001</v>
      </c>
      <c r="E19" s="12">
        <v>21721830.280000001</v>
      </c>
      <c r="F19" s="12"/>
      <c r="G19" s="12">
        <f t="shared" si="0"/>
        <v>63881830.280000001</v>
      </c>
    </row>
    <row r="20" spans="1:7" s="105" customFormat="1" ht="15">
      <c r="A20" s="103">
        <v>12784</v>
      </c>
      <c r="B20" s="12"/>
      <c r="C20" s="12">
        <v>42825000</v>
      </c>
      <c r="D20" s="12"/>
      <c r="E20" s="12">
        <v>20205948.48</v>
      </c>
      <c r="F20" s="12"/>
      <c r="G20" s="12">
        <f t="shared" si="0"/>
        <v>63030948.480000004</v>
      </c>
    </row>
    <row r="21" spans="1:7" s="105" customFormat="1" ht="15">
      <c r="A21" s="103">
        <v>13149</v>
      </c>
      <c r="B21" s="12"/>
      <c r="C21" s="12">
        <v>39560000</v>
      </c>
      <c r="D21" s="12"/>
      <c r="E21" s="12">
        <v>18788048.260000002</v>
      </c>
      <c r="F21" s="12"/>
      <c r="G21" s="12">
        <f t="shared" si="0"/>
        <v>58348048.260000005</v>
      </c>
    </row>
    <row r="22" spans="1:7" s="105" customFormat="1" ht="15">
      <c r="A22" s="103" t="s">
        <v>155</v>
      </c>
      <c r="B22" s="12"/>
      <c r="C22" s="12">
        <v>38420000</v>
      </c>
      <c r="D22" s="12"/>
      <c r="E22" s="12">
        <v>17457416.559999999</v>
      </c>
      <c r="F22" s="12"/>
      <c r="G22" s="12">
        <f t="shared" si="0"/>
        <v>55877416.560000002</v>
      </c>
    </row>
    <row r="23" spans="1:7" s="105" customFormat="1" ht="15">
      <c r="A23" s="103" t="s">
        <v>156</v>
      </c>
      <c r="B23" s="12"/>
      <c r="C23" s="12">
        <v>38760000</v>
      </c>
      <c r="D23" s="12">
        <v>16142837.630000001</v>
      </c>
      <c r="E23" s="12">
        <v>16142837.630000001</v>
      </c>
      <c r="F23" s="12"/>
      <c r="G23" s="12">
        <f t="shared" si="0"/>
        <v>54902837.630000003</v>
      </c>
    </row>
    <row r="24" spans="1:7" s="105" customFormat="1" ht="15">
      <c r="A24" s="103" t="s">
        <v>157</v>
      </c>
      <c r="B24" s="12"/>
      <c r="C24" s="12">
        <v>40645000</v>
      </c>
      <c r="D24" s="12">
        <v>14822709.9</v>
      </c>
      <c r="E24" s="12">
        <v>14822709.9</v>
      </c>
      <c r="F24" s="12"/>
      <c r="G24" s="12">
        <f t="shared" si="0"/>
        <v>55467709.899999999</v>
      </c>
    </row>
    <row r="25" spans="1:7" s="105" customFormat="1" ht="15">
      <c r="A25" s="103" t="s">
        <v>158</v>
      </c>
      <c r="B25" s="12"/>
      <c r="C25" s="12">
        <v>42620000</v>
      </c>
      <c r="D25" s="12">
        <v>13420609</v>
      </c>
      <c r="E25" s="12">
        <v>13420609</v>
      </c>
      <c r="F25" s="12"/>
      <c r="G25" s="12">
        <f t="shared" si="0"/>
        <v>56040609</v>
      </c>
    </row>
    <row r="26" spans="1:7" s="105" customFormat="1" ht="15">
      <c r="A26" s="103" t="s">
        <v>159</v>
      </c>
      <c r="B26" s="12"/>
      <c r="C26" s="12">
        <v>44510000</v>
      </c>
      <c r="D26" s="12"/>
      <c r="E26" s="12">
        <v>11683950</v>
      </c>
      <c r="F26" s="12"/>
      <c r="G26" s="12">
        <f t="shared" si="0"/>
        <v>56193950</v>
      </c>
    </row>
    <row r="27" spans="1:7" s="105" customFormat="1" ht="15">
      <c r="A27" s="103" t="s">
        <v>160</v>
      </c>
      <c r="B27" s="12"/>
      <c r="C27" s="12">
        <v>47135000</v>
      </c>
      <c r="D27" s="12"/>
      <c r="E27" s="12">
        <v>9628475</v>
      </c>
      <c r="F27" s="12"/>
      <c r="G27" s="12">
        <f t="shared" si="0"/>
        <v>56763475</v>
      </c>
    </row>
    <row r="28" spans="1:7" s="105" customFormat="1" ht="15">
      <c r="A28" s="103" t="s">
        <v>161</v>
      </c>
      <c r="B28" s="12"/>
      <c r="C28" s="12">
        <v>49885000</v>
      </c>
      <c r="D28" s="12"/>
      <c r="E28" s="12">
        <v>7451600</v>
      </c>
      <c r="F28" s="12"/>
      <c r="G28" s="12">
        <f t="shared" si="0"/>
        <v>57336600</v>
      </c>
    </row>
    <row r="29" spans="1:7" s="105" customFormat="1" ht="15">
      <c r="A29" s="103" t="s">
        <v>162</v>
      </c>
      <c r="B29" s="12"/>
      <c r="C29" s="12">
        <v>52675000</v>
      </c>
      <c r="D29" s="12"/>
      <c r="E29" s="12">
        <v>5237025</v>
      </c>
      <c r="F29" s="12"/>
      <c r="G29" s="12">
        <f t="shared" si="0"/>
        <v>57912025</v>
      </c>
    </row>
    <row r="30" spans="1:7" s="105" customFormat="1" ht="15">
      <c r="A30" s="103" t="s">
        <v>163</v>
      </c>
      <c r="B30" s="12"/>
      <c r="C30" s="12">
        <v>55510000</v>
      </c>
      <c r="D30" s="12"/>
      <c r="E30" s="12">
        <v>2986925</v>
      </c>
      <c r="F30" s="12"/>
      <c r="G30" s="12">
        <f t="shared" si="0"/>
        <v>58496925</v>
      </c>
    </row>
    <row r="31" spans="1:7" s="105" customFormat="1" ht="15">
      <c r="A31" s="103" t="s">
        <v>164</v>
      </c>
      <c r="B31" s="12"/>
      <c r="C31" s="12">
        <v>43385000</v>
      </c>
      <c r="D31" s="12"/>
      <c r="E31" s="12">
        <v>915950</v>
      </c>
      <c r="F31" s="12"/>
      <c r="G31" s="12">
        <f t="shared" si="0"/>
        <v>44300950</v>
      </c>
    </row>
    <row r="32" spans="1:7" s="105" customFormat="1" ht="17.25">
      <c r="A32" s="103" t="s">
        <v>165</v>
      </c>
      <c r="B32" s="12"/>
      <c r="C32" s="106">
        <v>0</v>
      </c>
      <c r="D32" s="106"/>
      <c r="E32" s="106">
        <v>0</v>
      </c>
      <c r="F32" s="106"/>
      <c r="G32" s="106">
        <f t="shared" si="0"/>
        <v>0</v>
      </c>
    </row>
    <row r="33" spans="1:7" s="110" customFormat="1" ht="17.25" customHeight="1">
      <c r="A33" s="107" t="s">
        <v>64</v>
      </c>
      <c r="B33" s="108"/>
      <c r="C33" s="109">
        <f>SUM(C6:C32)</f>
        <v>1069039741.35</v>
      </c>
      <c r="D33" s="109"/>
      <c r="E33" s="109">
        <f>SUM(E6:E32)</f>
        <v>600030250.82000005</v>
      </c>
      <c r="F33" s="109"/>
      <c r="G33" s="109">
        <f>SUM(G6:G32)</f>
        <v>1669069992.1700001</v>
      </c>
    </row>
    <row r="34" spans="1:7" s="111" customFormat="1" ht="12.75"/>
    <row r="35" spans="1:7" s="112" customFormat="1">
      <c r="A35" s="225" t="s">
        <v>117</v>
      </c>
      <c r="B35" s="225"/>
      <c r="C35" s="225"/>
      <c r="D35" s="225"/>
      <c r="E35" s="225"/>
      <c r="F35" s="225"/>
      <c r="G35" s="225"/>
    </row>
    <row r="36" spans="1:7" s="112" customFormat="1">
      <c r="A36" s="113" t="s">
        <v>154</v>
      </c>
      <c r="C36" s="226" t="s">
        <v>119</v>
      </c>
      <c r="D36" s="226"/>
      <c r="E36" s="226"/>
      <c r="F36" s="114"/>
      <c r="G36" s="115">
        <f>+'All Outstanding Debt'!C43</f>
        <v>357974960.75</v>
      </c>
    </row>
    <row r="37" spans="1:7" s="112" customFormat="1">
      <c r="A37" s="112" t="s">
        <v>118</v>
      </c>
      <c r="B37" s="114"/>
      <c r="C37" s="116" t="s">
        <v>119</v>
      </c>
      <c r="D37" s="114"/>
      <c r="E37" s="114"/>
      <c r="F37" s="114"/>
      <c r="G37" s="117">
        <f>+'All Outstanding Debt'!D43</f>
        <v>179550000</v>
      </c>
    </row>
    <row r="38" spans="1:7" s="112" customFormat="1">
      <c r="A38" s="112" t="s">
        <v>120</v>
      </c>
      <c r="B38" s="114"/>
      <c r="C38" s="116" t="s">
        <v>119</v>
      </c>
      <c r="D38" s="114"/>
      <c r="E38" s="114"/>
      <c r="F38" s="114"/>
      <c r="G38" s="117">
        <f>+'All Outstanding Debt'!G43</f>
        <v>88975000</v>
      </c>
    </row>
    <row r="39" spans="1:7" s="112" customFormat="1">
      <c r="A39" s="112" t="s">
        <v>121</v>
      </c>
      <c r="B39" s="114"/>
      <c r="C39" s="116" t="s">
        <v>122</v>
      </c>
      <c r="D39" s="114"/>
      <c r="E39" s="114"/>
      <c r="F39" s="114"/>
      <c r="G39" s="117">
        <f>+'All Outstanding Debt'!J43</f>
        <v>106050000</v>
      </c>
    </row>
    <row r="40" spans="1:7" s="112" customFormat="1">
      <c r="A40" s="112" t="s">
        <v>123</v>
      </c>
      <c r="B40" s="114"/>
      <c r="C40" s="116" t="s">
        <v>124</v>
      </c>
      <c r="D40" s="114"/>
      <c r="E40" s="114"/>
      <c r="F40" s="114"/>
      <c r="G40" s="117">
        <f>+'All Outstanding Debt'!O43</f>
        <v>105140000</v>
      </c>
    </row>
    <row r="41" spans="1:7" s="112" customFormat="1" ht="15.75" customHeight="1">
      <c r="A41" s="112" t="s">
        <v>125</v>
      </c>
      <c r="B41" s="114"/>
      <c r="C41" s="116" t="s">
        <v>122</v>
      </c>
      <c r="D41" s="114"/>
      <c r="E41" s="114"/>
      <c r="F41" s="114"/>
      <c r="G41" s="117">
        <f>+'All Outstanding Debt'!P43</f>
        <v>208395000</v>
      </c>
    </row>
    <row r="42" spans="1:7" s="112" customFormat="1" ht="15">
      <c r="A42" s="112" t="s">
        <v>126</v>
      </c>
      <c r="C42" s="116" t="s">
        <v>119</v>
      </c>
      <c r="G42" s="112">
        <f>+'All Outstanding Debt'!S43</f>
        <v>6705000</v>
      </c>
    </row>
    <row r="43" spans="1:7" s="112" customFormat="1" ht="15">
      <c r="A43" s="112" t="s">
        <v>127</v>
      </c>
      <c r="C43" s="116" t="s">
        <v>122</v>
      </c>
      <c r="G43" s="112">
        <f>+'All Outstanding Debt'!T43</f>
        <v>8960000</v>
      </c>
    </row>
    <row r="44" spans="1:7" s="112" customFormat="1" ht="15">
      <c r="A44" s="112" t="s">
        <v>128</v>
      </c>
      <c r="C44" s="116" t="s">
        <v>119</v>
      </c>
      <c r="G44" s="112">
        <f>+'All Outstanding Debt'!U43</f>
        <v>7265000</v>
      </c>
    </row>
    <row r="45" spans="1:7" s="118" customFormat="1" ht="17.25">
      <c r="A45" s="112" t="s">
        <v>129</v>
      </c>
      <c r="C45" s="116" t="s">
        <v>119</v>
      </c>
      <c r="G45" s="119">
        <f>+'All Outstanding Debt'!V43</f>
        <v>24781</v>
      </c>
    </row>
    <row r="46" spans="1:7" s="118" customFormat="1" ht="16.5">
      <c r="C46" s="107" t="s">
        <v>64</v>
      </c>
      <c r="G46" s="120">
        <f>SUM(G36:G45)-1</f>
        <v>1069039740.75</v>
      </c>
    </row>
    <row r="47" spans="1:7" s="111" customFormat="1" ht="12.75"/>
    <row r="48" spans="1:7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</sheetData>
  <mergeCells count="5">
    <mergeCell ref="A1:G1"/>
    <mergeCell ref="A2:G2"/>
    <mergeCell ref="A3:G3"/>
    <mergeCell ref="A35:G35"/>
    <mergeCell ref="C36:E36"/>
  </mergeCells>
  <pageMargins left="0.7" right="0.7" top="0.75" bottom="0.75" header="0.3" footer="0.3"/>
  <ignoredErrors>
    <ignoredError sqref="A22 A23:A32" twoDigitTextYear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121"/>
  <sheetViews>
    <sheetView workbookViewId="0">
      <selection activeCell="C12" sqref="C12"/>
    </sheetView>
  </sheetViews>
  <sheetFormatPr defaultColWidth="5.7109375" defaultRowHeight="15.75"/>
  <cols>
    <col min="1" max="1" width="18.28515625" style="100" customWidth="1"/>
    <col min="2" max="2" width="3.7109375" style="100" customWidth="1"/>
    <col min="3" max="3" width="22.28515625" style="100" customWidth="1"/>
    <col min="4" max="4" width="1.7109375" style="100" customWidth="1"/>
    <col min="5" max="5" width="22.28515625" style="100" customWidth="1"/>
    <col min="6" max="6" width="3.7109375" style="100" customWidth="1"/>
    <col min="7" max="7" width="22.28515625" style="100" customWidth="1"/>
    <col min="8" max="16384" width="5.7109375" style="100"/>
  </cols>
  <sheetData>
    <row r="1" spans="1:7" s="98" customFormat="1">
      <c r="A1" s="209"/>
      <c r="B1" s="209"/>
      <c r="C1" s="209"/>
      <c r="D1" s="209"/>
      <c r="E1" s="209"/>
      <c r="F1" s="209"/>
      <c r="G1" s="209"/>
    </row>
    <row r="2" spans="1:7" s="98" customFormat="1">
      <c r="A2" s="209"/>
      <c r="B2" s="209"/>
      <c r="C2" s="209"/>
      <c r="D2" s="209"/>
      <c r="E2" s="209"/>
      <c r="F2" s="209"/>
      <c r="G2" s="209"/>
    </row>
    <row r="3" spans="1:7" s="98" customFormat="1">
      <c r="A3" s="209"/>
      <c r="B3" s="209"/>
      <c r="C3" s="209"/>
      <c r="D3" s="209"/>
      <c r="E3" s="209"/>
      <c r="F3" s="209"/>
      <c r="G3" s="209"/>
    </row>
    <row r="4" spans="1:7">
      <c r="A4" s="99"/>
    </row>
    <row r="5" spans="1:7">
      <c r="A5" s="101"/>
      <c r="B5" s="102"/>
      <c r="C5" s="102"/>
      <c r="D5" s="102"/>
      <c r="E5" s="102"/>
      <c r="F5" s="102"/>
      <c r="G5" s="102"/>
    </row>
    <row r="6" spans="1:7" s="105" customFormat="1" ht="15">
      <c r="A6" s="103"/>
      <c r="B6" s="12"/>
      <c r="C6" s="104"/>
      <c r="D6" s="12"/>
      <c r="E6" s="104"/>
      <c r="F6" s="12"/>
      <c r="G6" s="104"/>
    </row>
    <row r="7" spans="1:7" s="105" customFormat="1" ht="15">
      <c r="A7" s="103"/>
      <c r="B7" s="12"/>
      <c r="C7" s="12"/>
      <c r="D7" s="12"/>
      <c r="E7" s="12"/>
      <c r="F7" s="12"/>
      <c r="G7" s="12"/>
    </row>
    <row r="8" spans="1:7" s="105" customFormat="1" ht="15">
      <c r="A8" s="103"/>
      <c r="B8" s="12"/>
      <c r="C8" s="12"/>
      <c r="D8" s="12"/>
      <c r="E8" s="12"/>
      <c r="F8" s="12"/>
      <c r="G8" s="12"/>
    </row>
    <row r="9" spans="1:7" s="105" customFormat="1" ht="15">
      <c r="A9" s="103"/>
      <c r="B9" s="12"/>
      <c r="C9" s="12"/>
      <c r="D9" s="12"/>
      <c r="E9" s="12"/>
      <c r="F9" s="12"/>
      <c r="G9" s="12"/>
    </row>
    <row r="10" spans="1:7" s="105" customFormat="1" ht="15">
      <c r="A10" s="103"/>
      <c r="B10" s="12"/>
      <c r="C10" s="12"/>
      <c r="D10" s="12"/>
      <c r="E10" s="12"/>
      <c r="F10" s="12"/>
      <c r="G10" s="12"/>
    </row>
    <row r="11" spans="1:7" s="105" customFormat="1" ht="15">
      <c r="A11" s="103"/>
      <c r="B11" s="12"/>
      <c r="C11" s="12"/>
      <c r="D11" s="12"/>
      <c r="E11" s="12"/>
      <c r="F11" s="12"/>
      <c r="G11" s="12"/>
    </row>
    <row r="12" spans="1:7" s="105" customFormat="1" ht="15">
      <c r="A12" s="103"/>
      <c r="B12" s="12"/>
      <c r="C12" s="12"/>
      <c r="D12" s="12"/>
      <c r="E12" s="12"/>
      <c r="F12" s="12"/>
      <c r="G12" s="12"/>
    </row>
    <row r="13" spans="1:7" s="105" customFormat="1" ht="15">
      <c r="A13" s="103"/>
      <c r="B13" s="12"/>
      <c r="C13" s="12"/>
      <c r="D13" s="12"/>
      <c r="E13" s="12"/>
      <c r="F13" s="12"/>
      <c r="G13" s="12"/>
    </row>
    <row r="14" spans="1:7" s="105" customFormat="1" ht="15">
      <c r="A14" s="103"/>
      <c r="B14" s="12"/>
      <c r="C14" s="12"/>
      <c r="D14" s="12"/>
      <c r="E14" s="12"/>
      <c r="F14" s="12"/>
      <c r="G14" s="12"/>
    </row>
    <row r="15" spans="1:7" s="105" customFormat="1" ht="15">
      <c r="A15" s="103"/>
      <c r="B15" s="12"/>
      <c r="C15" s="12"/>
      <c r="D15" s="12"/>
      <c r="E15" s="12"/>
      <c r="F15" s="12"/>
      <c r="G15" s="12"/>
    </row>
    <row r="16" spans="1:7" s="105" customFormat="1" ht="15">
      <c r="A16" s="103"/>
      <c r="B16" s="12"/>
      <c r="C16" s="12"/>
      <c r="D16" s="12"/>
      <c r="E16" s="12"/>
      <c r="F16" s="12"/>
      <c r="G16" s="12"/>
    </row>
    <row r="17" spans="1:7" s="105" customFormat="1" ht="15">
      <c r="A17" s="103"/>
      <c r="B17" s="12"/>
      <c r="C17" s="12"/>
      <c r="D17" s="12"/>
      <c r="E17" s="12"/>
      <c r="F17" s="12"/>
      <c r="G17" s="12"/>
    </row>
    <row r="18" spans="1:7" s="105" customFormat="1" ht="15">
      <c r="A18" s="103"/>
      <c r="B18" s="12"/>
      <c r="C18" s="12"/>
      <c r="D18" s="12"/>
      <c r="E18" s="12"/>
      <c r="F18" s="12"/>
      <c r="G18" s="12"/>
    </row>
    <row r="19" spans="1:7" s="105" customFormat="1" ht="15">
      <c r="A19" s="103"/>
      <c r="B19" s="12"/>
      <c r="C19" s="12"/>
      <c r="D19" s="12"/>
      <c r="E19" s="12"/>
      <c r="F19" s="12"/>
      <c r="G19" s="12"/>
    </row>
    <row r="20" spans="1:7" s="105" customFormat="1" ht="15">
      <c r="A20" s="103"/>
      <c r="B20" s="12"/>
      <c r="C20" s="12"/>
      <c r="D20" s="12"/>
      <c r="E20" s="12"/>
      <c r="F20" s="12"/>
      <c r="G20" s="12"/>
    </row>
    <row r="21" spans="1:7" s="105" customFormat="1" ht="15">
      <c r="A21" s="103"/>
      <c r="B21" s="12"/>
      <c r="C21" s="12"/>
      <c r="D21" s="12"/>
      <c r="E21" s="12"/>
      <c r="F21" s="12"/>
      <c r="G21" s="12"/>
    </row>
    <row r="22" spans="1:7" s="105" customFormat="1" ht="15">
      <c r="A22" s="103"/>
      <c r="B22" s="12"/>
      <c r="C22" s="12"/>
      <c r="D22" s="12"/>
      <c r="E22" s="12"/>
      <c r="F22" s="12"/>
      <c r="G22" s="12"/>
    </row>
    <row r="23" spans="1:7" s="105" customFormat="1" ht="15">
      <c r="A23" s="103"/>
      <c r="B23" s="12"/>
      <c r="C23" s="12"/>
      <c r="D23" s="12"/>
      <c r="E23" s="12"/>
      <c r="F23" s="12"/>
      <c r="G23" s="12"/>
    </row>
    <row r="24" spans="1:7" s="105" customFormat="1" ht="15">
      <c r="A24" s="103"/>
      <c r="B24" s="12"/>
      <c r="C24" s="12"/>
      <c r="D24" s="12"/>
      <c r="E24" s="12"/>
      <c r="F24" s="12"/>
      <c r="G24" s="12"/>
    </row>
    <row r="25" spans="1:7" s="105" customFormat="1" ht="15">
      <c r="A25" s="103"/>
      <c r="B25" s="12"/>
      <c r="C25" s="12"/>
      <c r="D25" s="12"/>
      <c r="E25" s="12"/>
      <c r="F25" s="12"/>
      <c r="G25" s="12"/>
    </row>
    <row r="26" spans="1:7" s="105" customFormat="1" ht="15">
      <c r="A26" s="103"/>
      <c r="B26" s="12"/>
      <c r="C26" s="12"/>
      <c r="D26" s="12"/>
      <c r="E26" s="12"/>
      <c r="F26" s="12"/>
      <c r="G26" s="12"/>
    </row>
    <row r="27" spans="1:7" s="105" customFormat="1" ht="15">
      <c r="A27" s="103"/>
      <c r="B27" s="12"/>
      <c r="C27" s="12"/>
      <c r="D27" s="12"/>
      <c r="E27" s="12"/>
      <c r="F27" s="12"/>
      <c r="G27" s="12"/>
    </row>
    <row r="28" spans="1:7" s="105" customFormat="1" ht="15">
      <c r="A28" s="103"/>
      <c r="B28" s="12"/>
      <c r="C28" s="12"/>
      <c r="D28" s="12"/>
      <c r="E28" s="12"/>
      <c r="F28" s="12"/>
      <c r="G28" s="12"/>
    </row>
    <row r="29" spans="1:7" s="105" customFormat="1" ht="15">
      <c r="A29" s="103"/>
      <c r="B29" s="12"/>
      <c r="C29" s="12"/>
      <c r="D29" s="12"/>
      <c r="E29" s="12"/>
      <c r="F29" s="12"/>
      <c r="G29" s="12"/>
    </row>
    <row r="30" spans="1:7" s="105" customFormat="1" ht="15">
      <c r="A30" s="103"/>
      <c r="B30" s="12"/>
      <c r="C30" s="12"/>
      <c r="D30" s="12"/>
      <c r="E30" s="12"/>
      <c r="F30" s="12"/>
      <c r="G30" s="12"/>
    </row>
    <row r="31" spans="1:7" s="105" customFormat="1" ht="15">
      <c r="A31" s="103"/>
      <c r="B31" s="12"/>
      <c r="C31" s="12"/>
      <c r="D31" s="12"/>
      <c r="E31" s="12"/>
      <c r="F31" s="12"/>
      <c r="G31" s="12"/>
    </row>
    <row r="32" spans="1:7" s="105" customFormat="1" ht="17.25">
      <c r="A32" s="103"/>
      <c r="B32" s="12"/>
      <c r="C32" s="106"/>
      <c r="D32" s="106"/>
      <c r="E32" s="106"/>
      <c r="F32" s="106"/>
      <c r="G32" s="106"/>
    </row>
    <row r="33" spans="1:7" s="110" customFormat="1" ht="17.25" customHeight="1">
      <c r="A33" s="107"/>
      <c r="B33" s="108"/>
      <c r="C33" s="109"/>
      <c r="D33" s="109"/>
      <c r="E33" s="109"/>
      <c r="F33" s="109"/>
      <c r="G33" s="109"/>
    </row>
    <row r="34" spans="1:7" s="111" customFormat="1" ht="12.75"/>
    <row r="35" spans="1:7" s="112" customFormat="1">
      <c r="A35" s="225"/>
      <c r="B35" s="225"/>
      <c r="C35" s="225"/>
      <c r="D35" s="225"/>
      <c r="E35" s="225"/>
      <c r="F35" s="225"/>
      <c r="G35" s="225"/>
    </row>
    <row r="36" spans="1:7" s="112" customFormat="1">
      <c r="A36" s="113"/>
      <c r="C36" s="226"/>
      <c r="D36" s="226"/>
      <c r="E36" s="226"/>
      <c r="F36" s="114"/>
      <c r="G36" s="115"/>
    </row>
    <row r="37" spans="1:7" s="112" customFormat="1">
      <c r="B37" s="114"/>
      <c r="C37" s="116"/>
      <c r="D37" s="114"/>
      <c r="E37" s="114"/>
      <c r="F37" s="114"/>
      <c r="G37" s="117"/>
    </row>
    <row r="38" spans="1:7" s="112" customFormat="1">
      <c r="B38" s="114"/>
      <c r="C38" s="116"/>
      <c r="D38" s="114"/>
      <c r="E38" s="114"/>
      <c r="F38" s="114"/>
      <c r="G38" s="117"/>
    </row>
    <row r="39" spans="1:7" s="112" customFormat="1">
      <c r="B39" s="114"/>
      <c r="C39" s="116"/>
      <c r="D39" s="114"/>
      <c r="E39" s="114"/>
      <c r="F39" s="114"/>
      <c r="G39" s="117"/>
    </row>
    <row r="40" spans="1:7" s="112" customFormat="1">
      <c r="B40" s="114"/>
      <c r="C40" s="116"/>
      <c r="D40" s="114"/>
      <c r="E40" s="114"/>
      <c r="F40" s="114"/>
      <c r="G40" s="117"/>
    </row>
    <row r="41" spans="1:7" s="112" customFormat="1" ht="15.75" customHeight="1">
      <c r="B41" s="114"/>
      <c r="C41" s="116"/>
      <c r="D41" s="114"/>
      <c r="E41" s="114"/>
      <c r="F41" s="114"/>
      <c r="G41" s="117"/>
    </row>
    <row r="42" spans="1:7" s="112" customFormat="1" ht="15">
      <c r="C42" s="116"/>
    </row>
    <row r="43" spans="1:7" s="112" customFormat="1" ht="15">
      <c r="C43" s="116"/>
    </row>
    <row r="44" spans="1:7" s="112" customFormat="1" ht="15">
      <c r="C44" s="116"/>
    </row>
    <row r="45" spans="1:7" s="112" customFormat="1" ht="15">
      <c r="C45" s="116"/>
    </row>
    <row r="46" spans="1:7" s="118" customFormat="1" ht="17.25">
      <c r="A46" s="112"/>
      <c r="C46" s="116"/>
      <c r="G46" s="119"/>
    </row>
    <row r="47" spans="1:7" s="118" customFormat="1" ht="16.5">
      <c r="C47" s="107"/>
      <c r="G47" s="120"/>
    </row>
    <row r="48" spans="1:7" s="111" customFormat="1" ht="12.75"/>
    <row r="49" s="111" customFormat="1" ht="12.75"/>
    <row r="50" s="111" customFormat="1" ht="12.75"/>
    <row r="51" s="111" customFormat="1" ht="12.75"/>
    <row r="52" s="111" customFormat="1" ht="12.75"/>
    <row r="53" s="111" customFormat="1" ht="12.75"/>
    <row r="54" s="111" customFormat="1" ht="12.75"/>
    <row r="55" s="111" customFormat="1" ht="12.75"/>
    <row r="56" s="111" customFormat="1" ht="12.75"/>
    <row r="57" s="111" customFormat="1" ht="12.75"/>
    <row r="58" s="111" customFormat="1" ht="12.75"/>
    <row r="59" s="111" customFormat="1" ht="12.75"/>
    <row r="60" s="111" customFormat="1" ht="12.75"/>
    <row r="61" s="111" customFormat="1" ht="12.75"/>
    <row r="62" s="111" customFormat="1" ht="12.75"/>
    <row r="63" s="111" customFormat="1" ht="12.75"/>
    <row r="64" s="111" customFormat="1" ht="12.75"/>
    <row r="65" s="111" customFormat="1" ht="12.75"/>
    <row r="66" s="111" customFormat="1" ht="12.75"/>
    <row r="67" s="111" customFormat="1" ht="12.75"/>
    <row r="68" s="111" customFormat="1" ht="12.75"/>
    <row r="69" s="111" customFormat="1" ht="12.75"/>
    <row r="70" s="111" customFormat="1" ht="12.75"/>
    <row r="71" s="111" customFormat="1" ht="12.75"/>
    <row r="72" s="111" customFormat="1" ht="12.75"/>
    <row r="73" s="111" customFormat="1" ht="12.75"/>
    <row r="74" s="111" customFormat="1" ht="12.75"/>
    <row r="75" s="111" customFormat="1" ht="12.75"/>
    <row r="76" s="111" customFormat="1" ht="12.75"/>
    <row r="77" s="111" customFormat="1" ht="12.75"/>
    <row r="78" s="111" customFormat="1" ht="12.75"/>
    <row r="79" s="111" customFormat="1" ht="12.75"/>
    <row r="80" s="111" customFormat="1" ht="12.75"/>
    <row r="81" s="111" customFormat="1" ht="12.75"/>
    <row r="82" s="111" customFormat="1" ht="12.75"/>
    <row r="83" s="111" customFormat="1" ht="12.75"/>
    <row r="84" s="111" customFormat="1" ht="12.75"/>
    <row r="85" s="111" customFormat="1" ht="12.75"/>
    <row r="86" s="111" customFormat="1" ht="12.75"/>
    <row r="87" s="111" customFormat="1" ht="12.75"/>
    <row r="88" s="111" customFormat="1" ht="12.75"/>
    <row r="89" s="111" customFormat="1" ht="12.75"/>
    <row r="90" s="111" customFormat="1" ht="12.75"/>
    <row r="91" s="111" customFormat="1" ht="12.75"/>
    <row r="92" s="111" customFormat="1" ht="12.75"/>
    <row r="93" s="111" customFormat="1" ht="12.75"/>
    <row r="94" s="111" customFormat="1" ht="12.75"/>
    <row r="95" s="111" customFormat="1" ht="12.75"/>
    <row r="96" s="111" customFormat="1" ht="12.75"/>
    <row r="97" s="111" customFormat="1" ht="12.75"/>
    <row r="98" s="111" customFormat="1" ht="12.75"/>
    <row r="99" s="111" customFormat="1" ht="12.75"/>
    <row r="100" s="111" customFormat="1" ht="12.75"/>
    <row r="101" s="111" customFormat="1" ht="12.75"/>
    <row r="102" s="111" customFormat="1" ht="12.75"/>
    <row r="103" s="111" customFormat="1" ht="12.75"/>
    <row r="104" s="111" customFormat="1" ht="12.75"/>
    <row r="105" s="111" customFormat="1" ht="12.75"/>
    <row r="106" s="111" customFormat="1" ht="12.75"/>
    <row r="107" s="111" customFormat="1" ht="12.75"/>
    <row r="108" s="111" customFormat="1" ht="12.75"/>
    <row r="109" s="111" customFormat="1" ht="12.75"/>
    <row r="110" s="111" customFormat="1" ht="12.75"/>
    <row r="111" s="111" customFormat="1" ht="12.75"/>
    <row r="112" s="111" customFormat="1" ht="12.75"/>
    <row r="113" s="111" customFormat="1" ht="12.75"/>
    <row r="114" s="111" customFormat="1" ht="12.75"/>
    <row r="115" s="111" customFormat="1" ht="12.75"/>
    <row r="116" s="111" customFormat="1" ht="12.75"/>
    <row r="117" s="111" customFormat="1" ht="12.75"/>
    <row r="118" s="111" customFormat="1" ht="12.75"/>
    <row r="119" s="111" customFormat="1" ht="12.75"/>
    <row r="120" s="111" customFormat="1" ht="12.75"/>
    <row r="121" s="111" customFormat="1" ht="12.75"/>
  </sheetData>
  <mergeCells count="5">
    <mergeCell ref="A1:G1"/>
    <mergeCell ref="A2:G2"/>
    <mergeCell ref="A3:G3"/>
    <mergeCell ref="A35:G35"/>
    <mergeCell ref="C36:E3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35"/>
  <sheetViews>
    <sheetView topLeftCell="A202" zoomScaleNormal="100" workbookViewId="0">
      <selection activeCell="W33" sqref="W33"/>
    </sheetView>
  </sheetViews>
  <sheetFormatPr defaultColWidth="5.7109375" defaultRowHeight="12.75"/>
  <cols>
    <col min="1" max="1" width="42.28515625" style="1" customWidth="1"/>
    <col min="2" max="2" width="13.42578125" style="1" customWidth="1"/>
    <col min="3" max="3" width="12.85546875" style="1" customWidth="1"/>
    <col min="4" max="4" width="13.42578125" style="1" customWidth="1"/>
    <col min="5" max="5" width="12.85546875" style="1" customWidth="1"/>
    <col min="6" max="6" width="12.42578125" style="1" customWidth="1"/>
    <col min="7" max="7" width="7.28515625" style="1" hidden="1" customWidth="1"/>
    <col min="8" max="16384" width="5.7109375" style="1"/>
  </cols>
  <sheetData>
    <row r="1" spans="1:9" s="29" customFormat="1" ht="15.75">
      <c r="A1" s="207" t="s">
        <v>0</v>
      </c>
      <c r="B1" s="207"/>
      <c r="C1" s="207"/>
      <c r="D1" s="207"/>
      <c r="E1" s="207"/>
      <c r="F1" s="207"/>
      <c r="G1" s="28"/>
    </row>
    <row r="2" spans="1:9" s="29" customFormat="1" ht="15.75">
      <c r="A2" s="208" t="s">
        <v>79</v>
      </c>
      <c r="B2" s="208"/>
      <c r="C2" s="208"/>
      <c r="D2" s="208"/>
      <c r="E2" s="208"/>
      <c r="F2" s="208"/>
      <c r="G2" s="28"/>
    </row>
    <row r="3" spans="1:9" s="29" customFormat="1" ht="15.75">
      <c r="A3" s="207" t="s">
        <v>81</v>
      </c>
      <c r="B3" s="207"/>
      <c r="C3" s="207"/>
      <c r="D3" s="207"/>
      <c r="E3" s="207"/>
      <c r="F3" s="207"/>
    </row>
    <row r="4" spans="1:9" s="29" customFormat="1" ht="15.75">
      <c r="A4" s="206" t="s">
        <v>90</v>
      </c>
      <c r="B4" s="206"/>
      <c r="C4" s="206"/>
      <c r="D4" s="206"/>
      <c r="E4" s="206"/>
      <c r="F4" s="206"/>
      <c r="G4" s="30"/>
    </row>
    <row r="5" spans="1:9" s="29" customFormat="1" ht="15.75">
      <c r="A5" s="31"/>
      <c r="B5" s="31"/>
      <c r="C5" s="31"/>
      <c r="D5" s="58"/>
      <c r="E5" s="58" t="s">
        <v>65</v>
      </c>
      <c r="F5" s="40" t="s">
        <v>65</v>
      </c>
      <c r="G5" s="31"/>
    </row>
    <row r="6" spans="1:9" s="29" customFormat="1" ht="15.75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  <c r="G6" s="33" t="s">
        <v>4</v>
      </c>
    </row>
    <row r="7" spans="1:9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</row>
    <row r="8" spans="1:9" s="4" customFormat="1" ht="15">
      <c r="A8" s="7" t="s">
        <v>34</v>
      </c>
      <c r="B8" s="9"/>
      <c r="C8" s="9"/>
      <c r="D8" s="9"/>
      <c r="E8" s="9"/>
      <c r="F8" s="9"/>
      <c r="G8" s="9"/>
      <c r="I8" s="9"/>
    </row>
    <row r="9" spans="1:9" s="4" customFormat="1" ht="15">
      <c r="A9" s="8" t="s">
        <v>35</v>
      </c>
      <c r="B9" s="6">
        <f>'F100 Detail'!B9+'F200 Detail'!B9+'F500 Detail'!B9+'F600 Detail'!B9</f>
        <v>109109361.74000007</v>
      </c>
      <c r="C9" s="6">
        <f>'F100 Detail'!C9+'F200 Detail'!C9+'F500 Detail'!C9+'F600 Detail'!C9</f>
        <v>115151075.73000014</v>
      </c>
      <c r="D9" s="6">
        <f>'F100 Detail'!D9+'F200 Detail'!D9+'F500 Detail'!D9+'F600 Detail'!D9</f>
        <v>124012001</v>
      </c>
      <c r="E9" s="6">
        <f>'F100 Detail'!E9+'F200 Detail'!E9+'F500 Detail'!E9+'F600 Detail'!E9</f>
        <v>138263057.4000003</v>
      </c>
      <c r="F9" s="6">
        <f>'F100 Detail'!F9+'F200 Detail'!F9+'F500 Detail'!F9+'F600 Detail'!F9</f>
        <v>141798906.40000001</v>
      </c>
      <c r="G9" s="36">
        <f t="shared" ref="G9:G14" si="0">F9-D9</f>
        <v>17786905.400000006</v>
      </c>
      <c r="I9" s="9"/>
    </row>
    <row r="10" spans="1:9" s="4" customFormat="1" ht="15">
      <c r="A10" s="8" t="s">
        <v>36</v>
      </c>
      <c r="B10" s="6">
        <f>'F100 Detail'!B10+'F200 Detail'!B10+'F500 Detail'!B10+'F600 Detail'!B10</f>
        <v>624165.31000000006</v>
      </c>
      <c r="C10" s="6">
        <f>'F100 Detail'!C10+'F200 Detail'!C10+'F500 Detail'!C10+'F600 Detail'!C10</f>
        <v>814359.70999999973</v>
      </c>
      <c r="D10" s="6">
        <f>'F100 Detail'!D10+'F200 Detail'!D10+'F500 Detail'!D10+'F600 Detail'!D10</f>
        <v>1012706</v>
      </c>
      <c r="E10" s="6">
        <f>'F100 Detail'!E10+'F200 Detail'!E10+'F500 Detail'!E10+'F600 Detail'!E10</f>
        <v>1036381.9600000003</v>
      </c>
      <c r="F10" s="6">
        <f>'F100 Detail'!F10+'F200 Detail'!F10+'F500 Detail'!F10+'F600 Detail'!F10</f>
        <v>1577263.45</v>
      </c>
      <c r="G10" s="9">
        <f t="shared" si="0"/>
        <v>564557.44999999995</v>
      </c>
      <c r="I10" s="9"/>
    </row>
    <row r="11" spans="1:9" s="4" customFormat="1" ht="15">
      <c r="A11" s="8" t="s">
        <v>37</v>
      </c>
      <c r="B11" s="6">
        <f>'F100 Detail'!B11+'F200 Detail'!B11+'F500 Detail'!B11+'F600 Detail'!B11</f>
        <v>4884117.5500000026</v>
      </c>
      <c r="C11" s="6">
        <f>'F100 Detail'!C11+'F200 Detail'!C11+'F500 Detail'!C11+'F600 Detail'!C11</f>
        <v>6190984.0400000028</v>
      </c>
      <c r="D11" s="6">
        <f>'F100 Detail'!D11+'F200 Detail'!D11+'F500 Detail'!D11+'F600 Detail'!D11</f>
        <v>7126958.0600000005</v>
      </c>
      <c r="E11" s="6">
        <f>'F100 Detail'!E11+'F200 Detail'!E11+'F500 Detail'!E11+'F600 Detail'!E11</f>
        <v>4152738.09</v>
      </c>
      <c r="F11" s="6">
        <f>'F100 Detail'!F11+'F200 Detail'!F11+'F500 Detail'!F11+'F600 Detail'!F11</f>
        <v>4365061.43</v>
      </c>
      <c r="G11" s="9">
        <f t="shared" si="0"/>
        <v>-2761896.6300000008</v>
      </c>
      <c r="I11" s="9"/>
    </row>
    <row r="12" spans="1:9" s="4" customFormat="1" ht="15">
      <c r="A12" s="8" t="s">
        <v>38</v>
      </c>
      <c r="B12" s="6">
        <f>'F100 Detail'!B12+'F200 Detail'!B12+'F500 Detail'!B12+'F600 Detail'!B12</f>
        <v>636195.3600000001</v>
      </c>
      <c r="C12" s="6">
        <f>'F100 Detail'!C12+'F200 Detail'!C12+'F500 Detail'!C12+'F600 Detail'!C12</f>
        <v>415757.67999999993</v>
      </c>
      <c r="D12" s="6">
        <f>'F100 Detail'!D12+'F200 Detail'!D12+'F500 Detail'!D12+'F600 Detail'!D12</f>
        <v>272131</v>
      </c>
      <c r="E12" s="6">
        <f>'F100 Detail'!E12+'F200 Detail'!E12+'F500 Detail'!E12+'F600 Detail'!E12</f>
        <v>339285</v>
      </c>
      <c r="F12" s="6">
        <f>'F100 Detail'!F12+'F200 Detail'!F12+'F500 Detail'!F12+'F600 Detail'!F12</f>
        <v>348879.43</v>
      </c>
      <c r="G12" s="9">
        <f t="shared" si="0"/>
        <v>76748.429999999993</v>
      </c>
      <c r="I12" s="9"/>
    </row>
    <row r="13" spans="1:9" s="4" customFormat="1" ht="15">
      <c r="A13" s="8" t="s">
        <v>39</v>
      </c>
      <c r="B13" s="6">
        <f>'F100 Detail'!B13+'F200 Detail'!B13+'F500 Detail'!B13+'F600 Detail'!B13</f>
        <v>0</v>
      </c>
      <c r="C13" s="6">
        <f>'F100 Detail'!C13+'F200 Detail'!C13+'F500 Detail'!C13+'F600 Detail'!C13</f>
        <v>0</v>
      </c>
      <c r="D13" s="6">
        <f>'F100 Detail'!D13+'F200 Detail'!D13+'F500 Detail'!D13+'F600 Detail'!D13</f>
        <v>0</v>
      </c>
      <c r="E13" s="6">
        <f>'F100 Detail'!E13+'F200 Detail'!E13+'F500 Detail'!E13+'F600 Detail'!E13</f>
        <v>0</v>
      </c>
      <c r="F13" s="6">
        <f>'F100 Detail'!F13+'F200 Detail'!F13+'F500 Detail'!F13+'F600 Detail'!F13</f>
        <v>0</v>
      </c>
      <c r="G13" s="9">
        <f t="shared" si="0"/>
        <v>0</v>
      </c>
      <c r="I13" s="9"/>
    </row>
    <row r="14" spans="1:9" s="4" customFormat="1" ht="17.25">
      <c r="A14" s="8" t="s">
        <v>40</v>
      </c>
      <c r="B14" s="19">
        <f>'F100 Detail'!B14+'F200 Detail'!B14+'F500 Detail'!B14+'F600 Detail'!B14</f>
        <v>42051.74</v>
      </c>
      <c r="C14" s="19">
        <f>'F100 Detail'!C14+'F200 Detail'!C14+'F500 Detail'!C14+'F600 Detail'!C14</f>
        <v>25145</v>
      </c>
      <c r="D14" s="19">
        <f>'F100 Detail'!D14+'F200 Detail'!D14+'F500 Detail'!D14+'F600 Detail'!D14</f>
        <v>36351</v>
      </c>
      <c r="E14" s="19">
        <f>'F100 Detail'!E14+'F200 Detail'!E14+'F500 Detail'!E14+'F600 Detail'!E14</f>
        <v>0</v>
      </c>
      <c r="F14" s="19">
        <f>'F100 Detail'!F14+'F200 Detail'!F14+'F500 Detail'!F14+'F600 Detail'!F14</f>
        <v>357</v>
      </c>
      <c r="G14" s="10">
        <f t="shared" si="0"/>
        <v>-35994</v>
      </c>
      <c r="I14" s="9"/>
    </row>
    <row r="15" spans="1:9" s="4" customFormat="1" ht="17.25">
      <c r="A15" s="8" t="s">
        <v>42</v>
      </c>
      <c r="B15" s="19">
        <f t="shared" ref="B15:G15" si="1">SUM(B9:B14)</f>
        <v>115295891.70000006</v>
      </c>
      <c r="C15" s="19">
        <f t="shared" si="1"/>
        <v>122597322.16000015</v>
      </c>
      <c r="D15" s="19">
        <f>SUM(D9:D14)</f>
        <v>132460147.06</v>
      </c>
      <c r="E15" s="19">
        <f>SUM(E9:E14)</f>
        <v>143791462.45000032</v>
      </c>
      <c r="F15" s="19">
        <f>SUM(F9:F14)</f>
        <v>148090467.71000001</v>
      </c>
      <c r="G15" s="37">
        <f t="shared" si="1"/>
        <v>15630320.650000004</v>
      </c>
      <c r="I15" s="9"/>
    </row>
    <row r="16" spans="1:9" s="4" customFormat="1" ht="15">
      <c r="A16" s="7"/>
      <c r="B16" s="54"/>
      <c r="C16" s="54"/>
      <c r="D16" s="54"/>
      <c r="E16" s="54"/>
      <c r="F16" s="54"/>
      <c r="G16" s="38"/>
      <c r="I16" s="9"/>
    </row>
    <row r="17" spans="1:9" s="4" customFormat="1" ht="15">
      <c r="A17" s="7" t="s">
        <v>41</v>
      </c>
      <c r="B17" s="6"/>
      <c r="C17" s="6"/>
      <c r="D17" s="6"/>
      <c r="E17" s="6"/>
      <c r="F17" s="6"/>
      <c r="G17" s="9"/>
      <c r="I17" s="9"/>
    </row>
    <row r="18" spans="1:9" s="4" customFormat="1" ht="15">
      <c r="A18" s="8" t="s">
        <v>35</v>
      </c>
      <c r="B18" s="6">
        <f>'F100 Detail'!B18+'F200 Detail'!B18+'F500 Detail'!B18+'F600 Detail'!B18</f>
        <v>2004662.1300000006</v>
      </c>
      <c r="C18" s="6">
        <f>'F100 Detail'!C18+'F200 Detail'!C18+'F500 Detail'!C18+'F600 Detail'!C18</f>
        <v>1993876.6900000002</v>
      </c>
      <c r="D18" s="6">
        <f>'F100 Detail'!D18+'F200 Detail'!D18+'F500 Detail'!D18+'F600 Detail'!D18</f>
        <v>2161027</v>
      </c>
      <c r="E18" s="6">
        <f>'F100 Detail'!E18+'F200 Detail'!E18+'F500 Detail'!E18+'F600 Detail'!E18</f>
        <v>2304012.629999999</v>
      </c>
      <c r="F18" s="6">
        <f>'F100 Detail'!F18+'F200 Detail'!F18+'F500 Detail'!F18+'F600 Detail'!F18</f>
        <v>2236877</v>
      </c>
      <c r="G18" s="36">
        <f t="shared" ref="G18:G23" si="2">F18-D18</f>
        <v>75850</v>
      </c>
      <c r="I18" s="9"/>
    </row>
    <row r="19" spans="1:9" s="4" customFormat="1" ht="15">
      <c r="A19" s="8" t="s">
        <v>36</v>
      </c>
      <c r="B19" s="6">
        <f>'F100 Detail'!B19+'F200 Detail'!B19+'F500 Detail'!B19+'F600 Detail'!B19</f>
        <v>62691.87</v>
      </c>
      <c r="C19" s="6">
        <f>'F100 Detail'!C19+'F200 Detail'!C19+'F500 Detail'!C19+'F600 Detail'!C19</f>
        <v>53099.71</v>
      </c>
      <c r="D19" s="6">
        <f>'F100 Detail'!D19+'F200 Detail'!D19+'F500 Detail'!D19+'F600 Detail'!D19</f>
        <v>11178</v>
      </c>
      <c r="E19" s="6">
        <f>'F100 Detail'!E19+'F200 Detail'!E19+'F500 Detail'!E19+'F600 Detail'!E19</f>
        <v>55755.68</v>
      </c>
      <c r="F19" s="6">
        <f>'F100 Detail'!F19+'F200 Detail'!F19+'F500 Detail'!F19+'F600 Detail'!F19</f>
        <v>66144</v>
      </c>
      <c r="G19" s="9">
        <f t="shared" si="2"/>
        <v>54966</v>
      </c>
      <c r="I19" s="9"/>
    </row>
    <row r="20" spans="1:9" s="4" customFormat="1" ht="15">
      <c r="A20" s="8" t="s">
        <v>37</v>
      </c>
      <c r="B20" s="6">
        <f>'F100 Detail'!B20+'F200 Detail'!B20+'F500 Detail'!B20+'F600 Detail'!B20</f>
        <v>415072.11999999988</v>
      </c>
      <c r="C20" s="6">
        <f>'F100 Detail'!C20+'F200 Detail'!C20+'F500 Detail'!C20+'F600 Detail'!C20</f>
        <v>407712.61000000004</v>
      </c>
      <c r="D20" s="6">
        <f>'F100 Detail'!D20+'F200 Detail'!D20+'F500 Detail'!D20+'F600 Detail'!D20</f>
        <v>727199.14</v>
      </c>
      <c r="E20" s="6">
        <f>'F100 Detail'!E20+'F200 Detail'!E20+'F500 Detail'!E20+'F600 Detail'!E20</f>
        <v>426752.95</v>
      </c>
      <c r="F20" s="6">
        <f>'F100 Detail'!F20+'F200 Detail'!F20+'F500 Detail'!F20+'F600 Detail'!F20</f>
        <v>434710.14</v>
      </c>
      <c r="G20" s="9">
        <f t="shared" si="2"/>
        <v>-292489</v>
      </c>
      <c r="I20" s="9"/>
    </row>
    <row r="21" spans="1:9" s="4" customFormat="1" ht="15">
      <c r="A21" s="8" t="s">
        <v>38</v>
      </c>
      <c r="B21" s="6">
        <f>'F100 Detail'!B21+'F200 Detail'!B21+'F500 Detail'!B21+'F600 Detail'!B21</f>
        <v>16874.260000000002</v>
      </c>
      <c r="C21" s="6">
        <f>'F100 Detail'!C21+'F200 Detail'!C21+'F500 Detail'!C21+'F600 Detail'!C21</f>
        <v>11110.82</v>
      </c>
      <c r="D21" s="6">
        <f>'F100 Detail'!D21+'F200 Detail'!D21+'F500 Detail'!D21+'F600 Detail'!D21</f>
        <v>20065</v>
      </c>
      <c r="E21" s="6">
        <f>'F100 Detail'!E21+'F200 Detail'!E21+'F500 Detail'!E21+'F600 Detail'!E21</f>
        <v>24989</v>
      </c>
      <c r="F21" s="6">
        <f>'F100 Detail'!F21+'F200 Detail'!F21+'F500 Detail'!F21+'F600 Detail'!F21</f>
        <v>32396</v>
      </c>
      <c r="G21" s="9">
        <f t="shared" si="2"/>
        <v>12331</v>
      </c>
      <c r="I21" s="9"/>
    </row>
    <row r="22" spans="1:9" s="4" customFormat="1" ht="15">
      <c r="A22" s="8" t="s">
        <v>39</v>
      </c>
      <c r="B22" s="6">
        <f>'F100 Detail'!B22+'F200 Detail'!B22+'F500 Detail'!B22+'F600 Detail'!B22</f>
        <v>0</v>
      </c>
      <c r="C22" s="6">
        <f>'F100 Detail'!C22+'F200 Detail'!C22+'F500 Detail'!C22+'F600 Detail'!C22</f>
        <v>0</v>
      </c>
      <c r="D22" s="6">
        <f>'F100 Detail'!D22+'F200 Detail'!D22+'F500 Detail'!D22+'F600 Detail'!D22</f>
        <v>0</v>
      </c>
      <c r="E22" s="6">
        <f>'F100 Detail'!E22+'F200 Detail'!E22+'F500 Detail'!E22+'F600 Detail'!E22</f>
        <v>0</v>
      </c>
      <c r="F22" s="6">
        <f>'F100 Detail'!F22+'F200 Detail'!F22+'F500 Detail'!F22+'F600 Detail'!F22</f>
        <v>0</v>
      </c>
      <c r="G22" s="9">
        <f t="shared" si="2"/>
        <v>0</v>
      </c>
      <c r="I22" s="9"/>
    </row>
    <row r="23" spans="1:9" s="4" customFormat="1" ht="17.25">
      <c r="A23" s="8" t="s">
        <v>40</v>
      </c>
      <c r="B23" s="19">
        <f>'F100 Detail'!B23+'F200 Detail'!B23+'F500 Detail'!B23+'F600 Detail'!B23</f>
        <v>0</v>
      </c>
      <c r="C23" s="19">
        <f>'F100 Detail'!C23+'F200 Detail'!C23+'F500 Detail'!C23+'F600 Detail'!C23</f>
        <v>0</v>
      </c>
      <c r="D23" s="19">
        <f>'F100 Detail'!D23+'F200 Detail'!D23+'F500 Detail'!D23+'F600 Detail'!D23</f>
        <v>0</v>
      </c>
      <c r="E23" s="19">
        <f>'F100 Detail'!E23+'F200 Detail'!E23+'F500 Detail'!E23+'F600 Detail'!E23</f>
        <v>0</v>
      </c>
      <c r="F23" s="19">
        <f>'F100 Detail'!F23+'F200 Detail'!F23+'F500 Detail'!F23+'F600 Detail'!F23</f>
        <v>0</v>
      </c>
      <c r="G23" s="10">
        <f t="shared" si="2"/>
        <v>0</v>
      </c>
      <c r="I23" s="9"/>
    </row>
    <row r="24" spans="1:9" s="4" customFormat="1" ht="17.25">
      <c r="A24" s="8" t="s">
        <v>42</v>
      </c>
      <c r="B24" s="19">
        <f t="shared" ref="B24:G24" si="3">SUM(B18:B23)</f>
        <v>2499300.3800000004</v>
      </c>
      <c r="C24" s="19">
        <f t="shared" si="3"/>
        <v>2465799.83</v>
      </c>
      <c r="D24" s="19">
        <f>SUM(D18:D23)</f>
        <v>2919469.14</v>
      </c>
      <c r="E24" s="19">
        <f>SUM(E18:E23)</f>
        <v>2811510.2599999993</v>
      </c>
      <c r="F24" s="19">
        <f>SUM(F18:F23)</f>
        <v>2770127.14</v>
      </c>
      <c r="G24" s="37">
        <f t="shared" si="3"/>
        <v>-149342</v>
      </c>
      <c r="I24" s="9"/>
    </row>
    <row r="25" spans="1:9" s="4" customFormat="1" ht="15">
      <c r="A25" s="7"/>
      <c r="B25" s="54"/>
      <c r="C25" s="54"/>
      <c r="D25" s="54"/>
      <c r="E25" s="54"/>
      <c r="F25" s="54"/>
      <c r="G25" s="38"/>
      <c r="I25" s="9"/>
    </row>
    <row r="26" spans="1:9" s="4" customFormat="1" ht="15">
      <c r="A26" s="7" t="s">
        <v>43</v>
      </c>
      <c r="B26" s="6"/>
      <c r="C26" s="6"/>
      <c r="D26" s="6"/>
      <c r="E26" s="6"/>
      <c r="F26" s="6"/>
      <c r="G26" s="9"/>
      <c r="I26" s="9"/>
    </row>
    <row r="27" spans="1:9" s="4" customFormat="1" ht="15">
      <c r="A27" s="8" t="s">
        <v>35</v>
      </c>
      <c r="B27" s="6">
        <f>'F100 Detail'!B27+'F200 Detail'!B27+'F500 Detail'!B27+'F600 Detail'!B27</f>
        <v>4348388.8500000024</v>
      </c>
      <c r="C27" s="6">
        <f>'F100 Detail'!C27+'F200 Detail'!C27+'F500 Detail'!C27+'F600 Detail'!C27</f>
        <v>4715382.8899999978</v>
      </c>
      <c r="D27" s="6">
        <f>'F100 Detail'!D27+'F200 Detail'!D27+'F500 Detail'!D27+'F600 Detail'!D27</f>
        <v>7487765</v>
      </c>
      <c r="E27" s="6">
        <f>'F100 Detail'!E27+'F200 Detail'!E27+'F500 Detail'!E27+'F600 Detail'!E27</f>
        <v>8482633.2200000025</v>
      </c>
      <c r="F27" s="6">
        <f>'F100 Detail'!F27+'F200 Detail'!F27+'F500 Detail'!F27+'F600 Detail'!F27</f>
        <v>5388900.5499999998</v>
      </c>
      <c r="G27" s="36">
        <f t="shared" ref="G27:G32" si="4">F27-D27</f>
        <v>-2098864.4500000002</v>
      </c>
      <c r="I27" s="9"/>
    </row>
    <row r="28" spans="1:9" s="4" customFormat="1" ht="15">
      <c r="A28" s="8" t="s">
        <v>36</v>
      </c>
      <c r="B28" s="6">
        <f>'F100 Detail'!B28+'F200 Detail'!B28+'F500 Detail'!B28+'F600 Detail'!B28</f>
        <v>457255.23000000004</v>
      </c>
      <c r="C28" s="6">
        <f>'F100 Detail'!C28+'F200 Detail'!C28+'F500 Detail'!C28+'F600 Detail'!C28</f>
        <v>497547.42</v>
      </c>
      <c r="D28" s="6">
        <f>'F100 Detail'!D28+'F200 Detail'!D28+'F500 Detail'!D28+'F600 Detail'!D28</f>
        <v>649628</v>
      </c>
      <c r="E28" s="6">
        <f>'F100 Detail'!E28+'F200 Detail'!E28+'F500 Detail'!E28+'F600 Detail'!E28</f>
        <v>483864</v>
      </c>
      <c r="F28" s="6">
        <f>'F100 Detail'!F28+'F200 Detail'!F28+'F500 Detail'!F28+'F600 Detail'!F28</f>
        <v>801722.61</v>
      </c>
      <c r="G28" s="9">
        <f t="shared" si="4"/>
        <v>152094.60999999999</v>
      </c>
      <c r="I28" s="9"/>
    </row>
    <row r="29" spans="1:9" s="4" customFormat="1" ht="15">
      <c r="A29" s="8" t="s">
        <v>37</v>
      </c>
      <c r="B29" s="6">
        <f>'F100 Detail'!B29+'F200 Detail'!B29+'F500 Detail'!B29+'F600 Detail'!B29</f>
        <v>367207.75999999989</v>
      </c>
      <c r="C29" s="6">
        <f>'F100 Detail'!C29+'F200 Detail'!C29+'F500 Detail'!C29+'F600 Detail'!C29</f>
        <v>228952.22999999998</v>
      </c>
      <c r="D29" s="6">
        <f>'F100 Detail'!D29+'F200 Detail'!D29+'F500 Detail'!D29+'F600 Detail'!D29</f>
        <v>256730</v>
      </c>
      <c r="E29" s="6">
        <f>'F100 Detail'!E29+'F200 Detail'!E29+'F500 Detail'!E29+'F600 Detail'!E29</f>
        <v>323472.81999999995</v>
      </c>
      <c r="F29" s="6">
        <f>'F100 Detail'!F29+'F200 Detail'!F29+'F500 Detail'!F29+'F600 Detail'!F29</f>
        <v>333558</v>
      </c>
      <c r="G29" s="9">
        <f t="shared" si="4"/>
        <v>76828</v>
      </c>
      <c r="I29" s="9"/>
    </row>
    <row r="30" spans="1:9" s="4" customFormat="1" ht="15">
      <c r="A30" s="8" t="s">
        <v>38</v>
      </c>
      <c r="B30" s="6">
        <f>'F100 Detail'!B30+'F200 Detail'!B30+'F500 Detail'!B30+'F600 Detail'!B30</f>
        <v>551473.28000000014</v>
      </c>
      <c r="C30" s="6">
        <f>'F100 Detail'!C30+'F200 Detail'!C30+'F500 Detail'!C30+'F600 Detail'!C30</f>
        <v>596590.02</v>
      </c>
      <c r="D30" s="6">
        <f>'F100 Detail'!D30+'F200 Detail'!D30+'F500 Detail'!D30+'F600 Detail'!D30</f>
        <v>700768</v>
      </c>
      <c r="E30" s="6">
        <f>'F100 Detail'!E30+'F200 Detail'!E30+'F500 Detail'!E30+'F600 Detail'!E30</f>
        <v>734853.77</v>
      </c>
      <c r="F30" s="6">
        <f>'F100 Detail'!F30+'F200 Detail'!F30+'F500 Detail'!F30+'F600 Detail'!F30</f>
        <v>838257.22</v>
      </c>
      <c r="G30" s="9">
        <f t="shared" si="4"/>
        <v>137489.21999999997</v>
      </c>
      <c r="I30" s="9"/>
    </row>
    <row r="31" spans="1:9" s="4" customFormat="1" ht="15">
      <c r="A31" s="8" t="s">
        <v>39</v>
      </c>
      <c r="B31" s="6">
        <f>'F100 Detail'!B31+'F200 Detail'!B31+'F500 Detail'!B31+'F600 Detail'!B31</f>
        <v>0</v>
      </c>
      <c r="C31" s="6">
        <f>'F100 Detail'!C31+'F200 Detail'!C31+'F500 Detail'!C31+'F600 Detail'!C31</f>
        <v>0</v>
      </c>
      <c r="D31" s="6">
        <f>'F100 Detail'!D31+'F200 Detail'!D31+'F500 Detail'!D31+'F600 Detail'!D31</f>
        <v>0</v>
      </c>
      <c r="E31" s="6">
        <f>'F100 Detail'!E31+'F200 Detail'!E31+'F500 Detail'!E31+'F600 Detail'!E31</f>
        <v>0</v>
      </c>
      <c r="F31" s="6">
        <f>'F100 Detail'!F31+'F200 Detail'!F31+'F500 Detail'!F31+'F600 Detail'!F31</f>
        <v>0</v>
      </c>
      <c r="G31" s="9">
        <f t="shared" si="4"/>
        <v>0</v>
      </c>
      <c r="I31" s="9"/>
    </row>
    <row r="32" spans="1:9" s="4" customFormat="1" ht="17.25">
      <c r="A32" s="8" t="s">
        <v>40</v>
      </c>
      <c r="B32" s="19">
        <f>'F100 Detail'!B32+'F200 Detail'!B32+'F500 Detail'!B32+'F600 Detail'!B32</f>
        <v>0</v>
      </c>
      <c r="C32" s="19">
        <f>'F100 Detail'!C32+'F200 Detail'!C32+'F500 Detail'!C32+'F600 Detail'!C32</f>
        <v>0</v>
      </c>
      <c r="D32" s="19">
        <f>'F100 Detail'!D32+'F200 Detail'!D32+'F500 Detail'!D32+'F600 Detail'!D32</f>
        <v>6420</v>
      </c>
      <c r="E32" s="19">
        <f>'F100 Detail'!E32+'F200 Detail'!E32+'F500 Detail'!E32+'F600 Detail'!E32</f>
        <v>0</v>
      </c>
      <c r="F32" s="19">
        <f>'F100 Detail'!F32+'F200 Detail'!F32+'F500 Detail'!F32+'F600 Detail'!F32</f>
        <v>0</v>
      </c>
      <c r="G32" s="10">
        <f t="shared" si="4"/>
        <v>-6420</v>
      </c>
      <c r="I32" s="9"/>
    </row>
    <row r="33" spans="1:9" s="4" customFormat="1" ht="17.25">
      <c r="A33" s="8" t="s">
        <v>42</v>
      </c>
      <c r="B33" s="19">
        <f t="shared" ref="B33:G33" si="5">SUM(B27:B32)</f>
        <v>5724325.1200000029</v>
      </c>
      <c r="C33" s="19">
        <f t="shared" si="5"/>
        <v>6038472.5599999968</v>
      </c>
      <c r="D33" s="19">
        <f>SUM(D27:D32)</f>
        <v>9101311</v>
      </c>
      <c r="E33" s="19">
        <f>SUM(E27:E32)</f>
        <v>10024823.810000002</v>
      </c>
      <c r="F33" s="19">
        <f>SUM(F27:F32)</f>
        <v>7362438.3799999999</v>
      </c>
      <c r="G33" s="37">
        <f t="shared" si="5"/>
        <v>-1738872.6200000003</v>
      </c>
      <c r="I33" s="9"/>
    </row>
    <row r="34" spans="1:9" s="4" customFormat="1" ht="15">
      <c r="A34" s="7"/>
      <c r="B34" s="54"/>
      <c r="C34" s="54"/>
      <c r="D34" s="54"/>
      <c r="E34" s="54"/>
      <c r="F34" s="54"/>
      <c r="G34" s="38"/>
      <c r="I34" s="9"/>
    </row>
    <row r="35" spans="1:9" s="4" customFormat="1" ht="15">
      <c r="A35" s="7" t="s">
        <v>44</v>
      </c>
      <c r="B35" s="6"/>
      <c r="C35" s="6"/>
      <c r="D35" s="6"/>
      <c r="E35" s="6"/>
      <c r="F35" s="6"/>
      <c r="G35" s="9"/>
      <c r="I35" s="9"/>
    </row>
    <row r="36" spans="1:9" s="4" customFormat="1" ht="15">
      <c r="A36" s="8" t="s">
        <v>35</v>
      </c>
      <c r="B36" s="6">
        <f>'F100 Detail'!B36+'F200 Detail'!B36+'F500 Detail'!B36+'F600 Detail'!B36</f>
        <v>965092.32000000018</v>
      </c>
      <c r="C36" s="6">
        <f>'F100 Detail'!C36+'F200 Detail'!C36+'F500 Detail'!C36+'F600 Detail'!C36</f>
        <v>1191565.8900000001</v>
      </c>
      <c r="D36" s="6">
        <f>'F100 Detail'!D36+'F200 Detail'!D36+'F500 Detail'!D36+'F600 Detail'!D36</f>
        <v>1762853</v>
      </c>
      <c r="E36" s="6">
        <f>'F100 Detail'!E36+'F200 Detail'!E36+'F500 Detail'!E36+'F600 Detail'!E36</f>
        <v>2145546.84</v>
      </c>
      <c r="F36" s="6">
        <f>'F100 Detail'!F36+'F200 Detail'!F36+'F500 Detail'!F36+'F600 Detail'!F36</f>
        <v>2176480</v>
      </c>
      <c r="G36" s="36">
        <f t="shared" ref="G36:G41" si="6">F36-D36</f>
        <v>413627</v>
      </c>
      <c r="I36" s="9"/>
    </row>
    <row r="37" spans="1:9" s="4" customFormat="1" ht="15">
      <c r="A37" s="8" t="s">
        <v>36</v>
      </c>
      <c r="B37" s="6">
        <f>'F100 Detail'!B37+'F200 Detail'!B37+'F500 Detail'!B37+'F600 Detail'!B37</f>
        <v>33034.740000000005</v>
      </c>
      <c r="C37" s="6">
        <f>'F100 Detail'!C37+'F200 Detail'!C37+'F500 Detail'!C37+'F600 Detail'!C37</f>
        <v>86011.439999999988</v>
      </c>
      <c r="D37" s="6">
        <f>'F100 Detail'!D37+'F200 Detail'!D37+'F500 Detail'!D37+'F600 Detail'!D37</f>
        <v>53206</v>
      </c>
      <c r="E37" s="6">
        <f>'F100 Detail'!E37+'F200 Detail'!E37+'F500 Detail'!E37+'F600 Detail'!E37</f>
        <v>55380</v>
      </c>
      <c r="F37" s="6">
        <f>'F100 Detail'!F37+'F200 Detail'!F37+'F500 Detail'!F37+'F600 Detail'!F37</f>
        <v>6050</v>
      </c>
      <c r="G37" s="9">
        <f t="shared" si="6"/>
        <v>-47156</v>
      </c>
      <c r="I37" s="9"/>
    </row>
    <row r="38" spans="1:9" s="4" customFormat="1" ht="15">
      <c r="A38" s="8" t="s">
        <v>37</v>
      </c>
      <c r="B38" s="6">
        <f>'F100 Detail'!B38+'F200 Detail'!B38+'F500 Detail'!B38+'F600 Detail'!B38</f>
        <v>69931.02</v>
      </c>
      <c r="C38" s="6">
        <f>'F100 Detail'!C38+'F200 Detail'!C38+'F500 Detail'!C38+'F600 Detail'!C38</f>
        <v>111424.19</v>
      </c>
      <c r="D38" s="6">
        <f>'F100 Detail'!D38+'F200 Detail'!D38+'F500 Detail'!D38+'F600 Detail'!D38</f>
        <v>186071</v>
      </c>
      <c r="E38" s="6">
        <f>'F100 Detail'!E38+'F200 Detail'!E38+'F500 Detail'!E38+'F600 Detail'!E38</f>
        <v>137674.5</v>
      </c>
      <c r="F38" s="6">
        <f>'F100 Detail'!F38+'F200 Detail'!F38+'F500 Detail'!F38+'F600 Detail'!F38</f>
        <v>76079</v>
      </c>
      <c r="G38" s="9">
        <f t="shared" si="6"/>
        <v>-109992</v>
      </c>
      <c r="I38" s="9"/>
    </row>
    <row r="39" spans="1:9" s="4" customFormat="1" ht="15">
      <c r="A39" s="8" t="s">
        <v>38</v>
      </c>
      <c r="B39" s="6">
        <f>'F100 Detail'!B39+'F200 Detail'!B39+'F500 Detail'!B39+'F600 Detail'!B39</f>
        <v>43665.279999999999</v>
      </c>
      <c r="C39" s="6">
        <f>'F100 Detail'!C39+'F200 Detail'!C39+'F500 Detail'!C39+'F600 Detail'!C39</f>
        <v>56779.519999999997</v>
      </c>
      <c r="D39" s="6">
        <f>'F100 Detail'!D39+'F200 Detail'!D39+'F500 Detail'!D39+'F600 Detail'!D39</f>
        <v>66233</v>
      </c>
      <c r="E39" s="6">
        <f>'F100 Detail'!E39+'F200 Detail'!E39+'F500 Detail'!E39+'F600 Detail'!E39</f>
        <v>59250</v>
      </c>
      <c r="F39" s="6">
        <f>'F100 Detail'!F39+'F200 Detail'!F39+'F500 Detail'!F39+'F600 Detail'!F39</f>
        <v>44347</v>
      </c>
      <c r="G39" s="9">
        <f t="shared" si="6"/>
        <v>-21886</v>
      </c>
      <c r="I39" s="9"/>
    </row>
    <row r="40" spans="1:9" s="4" customFormat="1" ht="15">
      <c r="A40" s="8" t="s">
        <v>39</v>
      </c>
      <c r="B40" s="6">
        <f>'F100 Detail'!B40+'F200 Detail'!B40+'F500 Detail'!B40+'F600 Detail'!B40</f>
        <v>0</v>
      </c>
      <c r="C40" s="6">
        <f>'F100 Detail'!C40+'F200 Detail'!C40+'F500 Detail'!C40+'F600 Detail'!C40</f>
        <v>0</v>
      </c>
      <c r="D40" s="6">
        <f>'F100 Detail'!D40+'F200 Detail'!D40+'F500 Detail'!D40+'F600 Detail'!D40</f>
        <v>0</v>
      </c>
      <c r="E40" s="6">
        <f>'F100 Detail'!E40+'F200 Detail'!E40+'F500 Detail'!E40+'F600 Detail'!E40</f>
        <v>0</v>
      </c>
      <c r="F40" s="6">
        <f>'F100 Detail'!F40+'F200 Detail'!F40+'F500 Detail'!F40+'F600 Detail'!F40</f>
        <v>0</v>
      </c>
      <c r="G40" s="9">
        <f t="shared" si="6"/>
        <v>0</v>
      </c>
      <c r="I40" s="9"/>
    </row>
    <row r="41" spans="1:9" s="4" customFormat="1" ht="17.25">
      <c r="A41" s="8" t="s">
        <v>40</v>
      </c>
      <c r="B41" s="19">
        <f>'F100 Detail'!B41+'F200 Detail'!B41+'F500 Detail'!B41+'F600 Detail'!B41</f>
        <v>0</v>
      </c>
      <c r="C41" s="19">
        <f>'F100 Detail'!C41+'F200 Detail'!C41+'F500 Detail'!C41+'F600 Detail'!C41</f>
        <v>0</v>
      </c>
      <c r="D41" s="19">
        <f>'F100 Detail'!D41+'F200 Detail'!D41+'F500 Detail'!D41+'F600 Detail'!D41</f>
        <v>0</v>
      </c>
      <c r="E41" s="19">
        <f>'F100 Detail'!E41+'F200 Detail'!E41+'F500 Detail'!E41+'F600 Detail'!E41</f>
        <v>0</v>
      </c>
      <c r="F41" s="19">
        <f>'F100 Detail'!F41+'F200 Detail'!F41+'F500 Detail'!F41+'F600 Detail'!F41</f>
        <v>0</v>
      </c>
      <c r="G41" s="10">
        <f t="shared" si="6"/>
        <v>0</v>
      </c>
      <c r="I41" s="9"/>
    </row>
    <row r="42" spans="1:9" s="4" customFormat="1" ht="17.25">
      <c r="A42" s="8" t="s">
        <v>42</v>
      </c>
      <c r="B42" s="19">
        <f t="shared" ref="B42:G42" si="7">SUM(B36:B41)</f>
        <v>1111723.3600000001</v>
      </c>
      <c r="C42" s="19">
        <f t="shared" si="7"/>
        <v>1445781.04</v>
      </c>
      <c r="D42" s="19">
        <f>SUM(D36:D41)</f>
        <v>2068363</v>
      </c>
      <c r="E42" s="19">
        <f>SUM(E36:E41)</f>
        <v>2397851.34</v>
      </c>
      <c r="F42" s="19">
        <f>SUM(F36:F41)</f>
        <v>2302956</v>
      </c>
      <c r="G42" s="37">
        <f t="shared" si="7"/>
        <v>234593</v>
      </c>
      <c r="I42" s="9"/>
    </row>
    <row r="43" spans="1:9" s="4" customFormat="1" ht="15">
      <c r="A43" s="7"/>
      <c r="B43" s="54"/>
      <c r="C43" s="54"/>
      <c r="D43" s="54"/>
      <c r="E43" s="54"/>
      <c r="F43" s="54"/>
      <c r="G43" s="38"/>
      <c r="I43" s="9"/>
    </row>
    <row r="44" spans="1:9" s="4" customFormat="1" ht="15">
      <c r="A44" s="7" t="s">
        <v>45</v>
      </c>
      <c r="B44" s="6"/>
      <c r="C44" s="6"/>
      <c r="D44" s="6"/>
      <c r="E44" s="6"/>
      <c r="F44" s="6"/>
      <c r="G44" s="9"/>
      <c r="I44" s="9"/>
    </row>
    <row r="45" spans="1:9" s="4" customFormat="1" ht="15">
      <c r="A45" s="8" t="s">
        <v>35</v>
      </c>
      <c r="B45" s="6">
        <f>'F100 Detail'!B45+'F200 Detail'!B45+'F500 Detail'!B45+'F600 Detail'!B45</f>
        <v>9183364.1800000016</v>
      </c>
      <c r="C45" s="6">
        <f>'F100 Detail'!C45+'F200 Detail'!C45+'F500 Detail'!C45+'F600 Detail'!C45</f>
        <v>9551015.5500000026</v>
      </c>
      <c r="D45" s="6">
        <f>'F100 Detail'!D45+'F200 Detail'!D45+'F500 Detail'!D45+'F600 Detail'!D45</f>
        <v>9728624</v>
      </c>
      <c r="E45" s="6">
        <f>'F100 Detail'!E45+'F200 Detail'!E45+'F500 Detail'!E45+'F600 Detail'!E45</f>
        <v>10324929.690000007</v>
      </c>
      <c r="F45" s="6">
        <f>'F100 Detail'!F45+'F200 Detail'!F45+'F500 Detail'!F45+'F600 Detail'!F45</f>
        <v>13801576</v>
      </c>
      <c r="G45" s="36">
        <f t="shared" ref="G45:G50" si="8">F45-D45</f>
        <v>4072952</v>
      </c>
      <c r="I45" s="9"/>
    </row>
    <row r="46" spans="1:9" s="4" customFormat="1" ht="15">
      <c r="A46" s="8" t="s">
        <v>36</v>
      </c>
      <c r="B46" s="6">
        <f>'F100 Detail'!B46+'F200 Detail'!B46+'F500 Detail'!B46+'F600 Detail'!B46</f>
        <v>122530.98999999998</v>
      </c>
      <c r="C46" s="6">
        <f>'F100 Detail'!C46+'F200 Detail'!C46+'F500 Detail'!C46+'F600 Detail'!C46</f>
        <v>114667.67999999996</v>
      </c>
      <c r="D46" s="6">
        <f>'F100 Detail'!D46+'F200 Detail'!D46+'F500 Detail'!D46+'F600 Detail'!D46</f>
        <v>148976</v>
      </c>
      <c r="E46" s="6">
        <f>'F100 Detail'!E46+'F200 Detail'!E46+'F500 Detail'!E46+'F600 Detail'!E46</f>
        <v>161235.91999999995</v>
      </c>
      <c r="F46" s="6">
        <f>'F100 Detail'!F46+'F200 Detail'!F46+'F500 Detail'!F46+'F600 Detail'!F46</f>
        <v>152753</v>
      </c>
      <c r="G46" s="9">
        <f t="shared" si="8"/>
        <v>3777</v>
      </c>
      <c r="I46" s="9"/>
    </row>
    <row r="47" spans="1:9" s="4" customFormat="1" ht="15">
      <c r="A47" s="8" t="s">
        <v>37</v>
      </c>
      <c r="B47" s="6">
        <f>'F100 Detail'!B47+'F200 Detail'!B47+'F500 Detail'!B47+'F600 Detail'!B47</f>
        <v>224663.8000000001</v>
      </c>
      <c r="C47" s="6">
        <f>'F100 Detail'!C47+'F200 Detail'!C47+'F500 Detail'!C47+'F600 Detail'!C47</f>
        <v>229484.86</v>
      </c>
      <c r="D47" s="6">
        <f>'F100 Detail'!D47+'F200 Detail'!D47+'F500 Detail'!D47+'F600 Detail'!D47</f>
        <v>228720.25</v>
      </c>
      <c r="E47" s="6">
        <f>'F100 Detail'!E47+'F200 Detail'!E47+'F500 Detail'!E47+'F600 Detail'!E47</f>
        <v>99184.48</v>
      </c>
      <c r="F47" s="6">
        <f>'F100 Detail'!F47+'F200 Detail'!F47+'F500 Detail'!F47+'F600 Detail'!F47</f>
        <v>90304</v>
      </c>
      <c r="G47" s="9">
        <f t="shared" si="8"/>
        <v>-138416.25</v>
      </c>
      <c r="I47" s="9"/>
    </row>
    <row r="48" spans="1:9" s="4" customFormat="1" ht="15">
      <c r="A48" s="8" t="s">
        <v>38</v>
      </c>
      <c r="B48" s="6">
        <f>'F100 Detail'!B48+'F200 Detail'!B48+'F500 Detail'!B48+'F600 Detail'!B48</f>
        <v>327661.75</v>
      </c>
      <c r="C48" s="6">
        <f>'F100 Detail'!C48+'F200 Detail'!C48+'F500 Detail'!C48+'F600 Detail'!C48</f>
        <v>329472.13999999996</v>
      </c>
      <c r="D48" s="6">
        <f>'F100 Detail'!D48+'F200 Detail'!D48+'F500 Detail'!D48+'F600 Detail'!D48</f>
        <v>458705</v>
      </c>
      <c r="E48" s="6">
        <f>'F100 Detail'!E48+'F200 Detail'!E48+'F500 Detail'!E48+'F600 Detail'!E48</f>
        <v>194256</v>
      </c>
      <c r="F48" s="6">
        <f>'F100 Detail'!F48+'F200 Detail'!F48+'F500 Detail'!F48+'F600 Detail'!F48</f>
        <v>314786</v>
      </c>
      <c r="G48" s="9">
        <f t="shared" si="8"/>
        <v>-143919</v>
      </c>
      <c r="I48" s="9"/>
    </row>
    <row r="49" spans="1:9" s="4" customFormat="1" ht="15">
      <c r="A49" s="8" t="s">
        <v>39</v>
      </c>
      <c r="B49" s="6">
        <f>'F100 Detail'!B49+'F200 Detail'!B49+'F500 Detail'!B49+'F600 Detail'!B49</f>
        <v>0</v>
      </c>
      <c r="C49" s="6">
        <f>'F100 Detail'!C49+'F200 Detail'!C49+'F500 Detail'!C49+'F600 Detail'!C49</f>
        <v>0</v>
      </c>
      <c r="D49" s="6">
        <f>'F100 Detail'!D49+'F200 Detail'!D49+'F500 Detail'!D49+'F600 Detail'!D49</f>
        <v>0</v>
      </c>
      <c r="E49" s="6">
        <f>'F100 Detail'!E49+'F200 Detail'!E49+'F500 Detail'!E49+'F600 Detail'!E49</f>
        <v>0</v>
      </c>
      <c r="F49" s="6">
        <f>'F100 Detail'!F49+'F200 Detail'!F49+'F500 Detail'!F49+'F600 Detail'!F49</f>
        <v>0</v>
      </c>
      <c r="G49" s="9">
        <f t="shared" si="8"/>
        <v>0</v>
      </c>
      <c r="I49" s="9"/>
    </row>
    <row r="50" spans="1:9" s="4" customFormat="1" ht="17.25">
      <c r="A50" s="8" t="s">
        <v>40</v>
      </c>
      <c r="B50" s="19">
        <f>'F100 Detail'!B50+'F200 Detail'!B50+'F500 Detail'!B50+'F600 Detail'!B50</f>
        <v>0</v>
      </c>
      <c r="C50" s="19">
        <f>'F100 Detail'!C50+'F200 Detail'!C50+'F500 Detail'!C50+'F600 Detail'!C50</f>
        <v>0</v>
      </c>
      <c r="D50" s="19">
        <f>'F100 Detail'!D50+'F200 Detail'!D50+'F500 Detail'!D50+'F600 Detail'!D50</f>
        <v>0</v>
      </c>
      <c r="E50" s="19">
        <f>'F100 Detail'!E50+'F200 Detail'!E50+'F500 Detail'!E50+'F600 Detail'!E50</f>
        <v>0</v>
      </c>
      <c r="F50" s="19">
        <f>'F100 Detail'!F50+'F200 Detail'!F50+'F500 Detail'!F50+'F600 Detail'!F50</f>
        <v>0</v>
      </c>
      <c r="G50" s="10">
        <f t="shared" si="8"/>
        <v>0</v>
      </c>
      <c r="I50" s="9"/>
    </row>
    <row r="51" spans="1:9" s="4" customFormat="1" ht="17.25">
      <c r="A51" s="8" t="s">
        <v>42</v>
      </c>
      <c r="B51" s="19">
        <f t="shared" ref="B51:G51" si="9">SUM(B45:B50)</f>
        <v>9858220.7200000025</v>
      </c>
      <c r="C51" s="19">
        <f t="shared" si="9"/>
        <v>10224640.230000002</v>
      </c>
      <c r="D51" s="19">
        <f>SUM(D45:D50)</f>
        <v>10565025.25</v>
      </c>
      <c r="E51" s="19">
        <f>SUM(E45:E50)</f>
        <v>10779606.090000007</v>
      </c>
      <c r="F51" s="19">
        <f>SUM(F45:F50)</f>
        <v>14359419</v>
      </c>
      <c r="G51" s="37">
        <f t="shared" si="9"/>
        <v>3794393.75</v>
      </c>
      <c r="I51" s="9"/>
    </row>
    <row r="52" spans="1:9" s="4" customFormat="1" ht="17.25">
      <c r="A52" s="8"/>
      <c r="B52" s="19"/>
      <c r="C52" s="19"/>
      <c r="D52" s="19"/>
      <c r="E52" s="19"/>
      <c r="F52" s="19"/>
      <c r="G52" s="37"/>
      <c r="I52" s="9"/>
    </row>
    <row r="53" spans="1:9" s="4" customFormat="1" ht="15">
      <c r="A53" s="7" t="s">
        <v>46</v>
      </c>
      <c r="B53" s="6"/>
      <c r="C53" s="6"/>
      <c r="D53" s="6"/>
      <c r="E53" s="6"/>
      <c r="F53" s="6"/>
      <c r="G53" s="9"/>
      <c r="I53" s="9"/>
    </row>
    <row r="54" spans="1:9" s="4" customFormat="1" ht="15">
      <c r="A54" s="8" t="s">
        <v>35</v>
      </c>
      <c r="B54" s="6">
        <f>'F100 Detail'!B54+'F200 Detail'!B54+'F500 Detail'!B54+'F600 Detail'!B54</f>
        <v>7054007.6399999997</v>
      </c>
      <c r="C54" s="6">
        <f>'F100 Detail'!C54+'F200 Detail'!C54+'F500 Detail'!C54+'F600 Detail'!C54</f>
        <v>7656968.7699999958</v>
      </c>
      <c r="D54" s="6">
        <f>'F100 Detail'!D54+'F200 Detail'!D54+'F500 Detail'!D54+'F600 Detail'!D54</f>
        <v>8229921</v>
      </c>
      <c r="E54" s="6">
        <f>'F100 Detail'!E54+'F200 Detail'!E54+'F500 Detail'!E54+'F600 Detail'!E54</f>
        <v>9025066.3899999857</v>
      </c>
      <c r="F54" s="6">
        <f>'F100 Detail'!F54+'F200 Detail'!F54+'F500 Detail'!F54+'F600 Detail'!F54</f>
        <v>10880720.789999999</v>
      </c>
      <c r="G54" s="36">
        <f t="shared" ref="G54:G59" si="10">F54-D54</f>
        <v>2650799.7899999991</v>
      </c>
      <c r="I54" s="9"/>
    </row>
    <row r="55" spans="1:9" s="4" customFormat="1" ht="15">
      <c r="A55" s="8" t="s">
        <v>36</v>
      </c>
      <c r="B55" s="6">
        <f>'F100 Detail'!B55+'F200 Detail'!B55+'F500 Detail'!B55+'F600 Detail'!B55</f>
        <v>104991.24</v>
      </c>
      <c r="C55" s="6">
        <f>'F100 Detail'!C55+'F200 Detail'!C55+'F500 Detail'!C55+'F600 Detail'!C55</f>
        <v>79024.929999999993</v>
      </c>
      <c r="D55" s="6">
        <f>'F100 Detail'!D55+'F200 Detail'!D55+'F500 Detail'!D55+'F600 Detail'!D55</f>
        <v>77763</v>
      </c>
      <c r="E55" s="6">
        <f>'F100 Detail'!E55+'F200 Detail'!E55+'F500 Detail'!E55+'F600 Detail'!E55</f>
        <v>193686.84</v>
      </c>
      <c r="F55" s="6">
        <f>'F100 Detail'!F55+'F200 Detail'!F55+'F500 Detail'!F55+'F600 Detail'!F55</f>
        <v>145279.58000000002</v>
      </c>
      <c r="G55" s="9">
        <f t="shared" si="10"/>
        <v>67516.580000000016</v>
      </c>
      <c r="I55" s="9"/>
    </row>
    <row r="56" spans="1:9" s="4" customFormat="1" ht="15">
      <c r="A56" s="8" t="s">
        <v>37</v>
      </c>
      <c r="B56" s="6">
        <f>'F100 Detail'!B56+'F200 Detail'!B56+'F500 Detail'!B56+'F600 Detail'!B56</f>
        <v>362122.2</v>
      </c>
      <c r="C56" s="6">
        <f>'F100 Detail'!C56+'F200 Detail'!C56+'F500 Detail'!C56+'F600 Detail'!C56</f>
        <v>436605.33</v>
      </c>
      <c r="D56" s="6">
        <f>'F100 Detail'!D56+'F200 Detail'!D56+'F500 Detail'!D56+'F600 Detail'!D56</f>
        <v>512974.11</v>
      </c>
      <c r="E56" s="6">
        <f>'F100 Detail'!E56+'F200 Detail'!E56+'F500 Detail'!E56+'F600 Detail'!E56</f>
        <v>462378</v>
      </c>
      <c r="F56" s="6">
        <f>'F100 Detail'!F56+'F200 Detail'!F56+'F500 Detail'!F56+'F600 Detail'!F56</f>
        <v>525133</v>
      </c>
      <c r="G56" s="9">
        <f t="shared" si="10"/>
        <v>12158.890000000014</v>
      </c>
      <c r="I56" s="9"/>
    </row>
    <row r="57" spans="1:9" s="4" customFormat="1" ht="15">
      <c r="A57" s="8" t="s">
        <v>38</v>
      </c>
      <c r="B57" s="6">
        <f>'F100 Detail'!B57+'F200 Detail'!B57+'F500 Detail'!B57+'F600 Detail'!B57</f>
        <v>48976.32</v>
      </c>
      <c r="C57" s="6">
        <f>'F100 Detail'!C57+'F200 Detail'!C57+'F500 Detail'!C57+'F600 Detail'!C57</f>
        <v>43540.979999999996</v>
      </c>
      <c r="D57" s="6">
        <f>'F100 Detail'!D57+'F200 Detail'!D57+'F500 Detail'!D57+'F600 Detail'!D57</f>
        <v>77658</v>
      </c>
      <c r="E57" s="6">
        <f>'F100 Detail'!E57+'F200 Detail'!E57+'F500 Detail'!E57+'F600 Detail'!E57</f>
        <v>59372</v>
      </c>
      <c r="F57" s="6">
        <f>'F100 Detail'!F57+'F200 Detail'!F57+'F500 Detail'!F57+'F600 Detail'!F57</f>
        <v>62920</v>
      </c>
      <c r="G57" s="9">
        <f t="shared" si="10"/>
        <v>-14738</v>
      </c>
      <c r="I57" s="9"/>
    </row>
    <row r="58" spans="1:9" s="4" customFormat="1" ht="15">
      <c r="A58" s="8" t="s">
        <v>39</v>
      </c>
      <c r="B58" s="6">
        <f>'F100 Detail'!B58+'F200 Detail'!B58+'F500 Detail'!B58+'F600 Detail'!B58</f>
        <v>0</v>
      </c>
      <c r="C58" s="6">
        <f>'F100 Detail'!C58+'F200 Detail'!C58+'F500 Detail'!C58+'F600 Detail'!C58</f>
        <v>0</v>
      </c>
      <c r="D58" s="6">
        <f>'F100 Detail'!D58+'F200 Detail'!D58+'F500 Detail'!D58+'F600 Detail'!D58</f>
        <v>0</v>
      </c>
      <c r="E58" s="6">
        <f>'F100 Detail'!E58+'F200 Detail'!E58+'F500 Detail'!E58+'F600 Detail'!E58</f>
        <v>0</v>
      </c>
      <c r="F58" s="6">
        <f>'F100 Detail'!F58+'F200 Detail'!F58+'F500 Detail'!F58+'F600 Detail'!F58</f>
        <v>0</v>
      </c>
      <c r="G58" s="9">
        <f t="shared" si="10"/>
        <v>0</v>
      </c>
      <c r="I58" s="9"/>
    </row>
    <row r="59" spans="1:9" s="4" customFormat="1" ht="17.25">
      <c r="A59" s="8" t="s">
        <v>40</v>
      </c>
      <c r="B59" s="19">
        <f>'F100 Detail'!B59+'F200 Detail'!B59+'F500 Detail'!B59+'F600 Detail'!B59</f>
        <v>0</v>
      </c>
      <c r="C59" s="19">
        <f>'F100 Detail'!C59+'F200 Detail'!C59+'F500 Detail'!C59+'F600 Detail'!C59</f>
        <v>0</v>
      </c>
      <c r="D59" s="19">
        <f>'F100 Detail'!D59+'F200 Detail'!D59+'F500 Detail'!D59+'F600 Detail'!D59</f>
        <v>0</v>
      </c>
      <c r="E59" s="19">
        <f>'F100 Detail'!E59+'F200 Detail'!E59+'F500 Detail'!E59+'F600 Detail'!E59</f>
        <v>0</v>
      </c>
      <c r="F59" s="19">
        <f>'F100 Detail'!F59+'F200 Detail'!F59+'F500 Detail'!F59+'F600 Detail'!F59</f>
        <v>0</v>
      </c>
      <c r="G59" s="10">
        <f t="shared" si="10"/>
        <v>0</v>
      </c>
      <c r="I59" s="9"/>
    </row>
    <row r="60" spans="1:9" s="4" customFormat="1" ht="17.25">
      <c r="A60" s="8" t="s">
        <v>42</v>
      </c>
      <c r="B60" s="19">
        <f>'F100 Detail'!B60+'F200 Detail'!B60+'F500 Detail'!B60+'F600 Detail'!B60</f>
        <v>7570097.4000000004</v>
      </c>
      <c r="C60" s="19">
        <f>SUM(C54:C59)</f>
        <v>8216140.0099999961</v>
      </c>
      <c r="D60" s="19">
        <f>SUM(D54:D59)</f>
        <v>8898316.1099999994</v>
      </c>
      <c r="E60" s="19">
        <f>SUM(E54:E59)</f>
        <v>9740503.2299999855</v>
      </c>
      <c r="F60" s="19">
        <f>SUM(F54:F59)</f>
        <v>11614053.369999999</v>
      </c>
      <c r="G60" s="37">
        <f>SUM(G54:G59)</f>
        <v>2715737.2599999993</v>
      </c>
      <c r="I60" s="9"/>
    </row>
    <row r="61" spans="1:9" s="4" customFormat="1" ht="15">
      <c r="A61" s="7"/>
      <c r="B61" s="54"/>
      <c r="C61" s="54"/>
      <c r="D61" s="54"/>
      <c r="E61" s="54"/>
      <c r="F61" s="54"/>
      <c r="G61" s="38"/>
      <c r="I61" s="9"/>
    </row>
    <row r="62" spans="1:9" s="4" customFormat="1" ht="15">
      <c r="A62" s="7" t="s">
        <v>47</v>
      </c>
      <c r="B62" s="6"/>
      <c r="C62" s="6"/>
      <c r="D62" s="6"/>
      <c r="E62" s="6"/>
      <c r="F62" s="6"/>
      <c r="G62" s="9"/>
      <c r="I62" s="9"/>
    </row>
    <row r="63" spans="1:9" s="4" customFormat="1" ht="15">
      <c r="A63" s="8" t="s">
        <v>35</v>
      </c>
      <c r="B63" s="6">
        <f>'F100 Detail'!B63+'F200 Detail'!B63+'F500 Detail'!B63+'F600 Detail'!B63</f>
        <v>77793.009999999995</v>
      </c>
      <c r="C63" s="6">
        <f>'F100 Detail'!C63+'F200 Detail'!C63+'F500 Detail'!C63+'F600 Detail'!C63</f>
        <v>74693.37000000001</v>
      </c>
      <c r="D63" s="6">
        <f>'F100 Detail'!D63+'F200 Detail'!D63+'F500 Detail'!D63+'F600 Detail'!D63</f>
        <v>76157</v>
      </c>
      <c r="E63" s="6">
        <f>'F100 Detail'!E63+'F200 Detail'!E63+'F500 Detail'!E63+'F600 Detail'!E63</f>
        <v>148324.86999999997</v>
      </c>
      <c r="F63" s="6">
        <f>'F100 Detail'!F63+'F200 Detail'!F63+'F500 Detail'!F63+'F600 Detail'!F63</f>
        <v>215317</v>
      </c>
      <c r="G63" s="36">
        <f t="shared" ref="G63:G68" si="11">F63-D63</f>
        <v>139160</v>
      </c>
      <c r="I63" s="9"/>
    </row>
    <row r="64" spans="1:9" s="4" customFormat="1" ht="15">
      <c r="A64" s="8" t="s">
        <v>36</v>
      </c>
      <c r="B64" s="6">
        <f>'F100 Detail'!B64+'F200 Detail'!B64+'F500 Detail'!B64+'F600 Detail'!B64</f>
        <v>174994</v>
      </c>
      <c r="C64" s="6">
        <f>'F100 Detail'!C64+'F200 Detail'!C64+'F500 Detail'!C64+'F600 Detail'!C64</f>
        <v>174994</v>
      </c>
      <c r="D64" s="6">
        <f>'F100 Detail'!D64+'F200 Detail'!D64+'F500 Detail'!D64+'F600 Detail'!D64</f>
        <v>182994</v>
      </c>
      <c r="E64" s="6">
        <f>'F100 Detail'!E64+'F200 Detail'!E64+'F500 Detail'!E64+'F600 Detail'!E64</f>
        <v>127071.91</v>
      </c>
      <c r="F64" s="6">
        <f>'F100 Detail'!F64+'F200 Detail'!F64+'F500 Detail'!F64+'F600 Detail'!F64</f>
        <v>214994</v>
      </c>
      <c r="G64" s="9">
        <f t="shared" si="11"/>
        <v>32000</v>
      </c>
      <c r="I64" s="9"/>
    </row>
    <row r="65" spans="1:9" s="4" customFormat="1" ht="15">
      <c r="A65" s="8" t="s">
        <v>37</v>
      </c>
      <c r="B65" s="6">
        <f>'F100 Detail'!B65+'F200 Detail'!B65+'F500 Detail'!B65+'F600 Detail'!B65</f>
        <v>260.33999999999997</v>
      </c>
      <c r="C65" s="6">
        <f>'F100 Detail'!C65+'F200 Detail'!C65+'F500 Detail'!C65+'F600 Detail'!C65</f>
        <v>219.44</v>
      </c>
      <c r="D65" s="6">
        <f>'F100 Detail'!D65+'F200 Detail'!D65+'F500 Detail'!D65+'F600 Detail'!D65</f>
        <v>379</v>
      </c>
      <c r="E65" s="6">
        <f>'F100 Detail'!E65+'F200 Detail'!E65+'F500 Detail'!E65+'F600 Detail'!E65</f>
        <v>0</v>
      </c>
      <c r="F65" s="6">
        <f>'F100 Detail'!F65+'F200 Detail'!F65+'F500 Detail'!F65+'F600 Detail'!F65</f>
        <v>465.26</v>
      </c>
      <c r="G65" s="9">
        <f t="shared" si="11"/>
        <v>86.259999999999991</v>
      </c>
      <c r="I65" s="9"/>
    </row>
    <row r="66" spans="1:9" s="4" customFormat="1" ht="15">
      <c r="A66" s="8" t="s">
        <v>38</v>
      </c>
      <c r="B66" s="6">
        <f>'F100 Detail'!B66+'F200 Detail'!B66+'F500 Detail'!B66+'F600 Detail'!B66</f>
        <v>0</v>
      </c>
      <c r="C66" s="6">
        <f>'F100 Detail'!C66+'F200 Detail'!C66+'F500 Detail'!C66+'F600 Detail'!C66</f>
        <v>847</v>
      </c>
      <c r="D66" s="6">
        <f>'F100 Detail'!D66+'F200 Detail'!D66+'F500 Detail'!D66+'F600 Detail'!D66</f>
        <v>0</v>
      </c>
      <c r="E66" s="6">
        <f>'F100 Detail'!E66+'F200 Detail'!E66+'F500 Detail'!E66+'F600 Detail'!E66</f>
        <v>0</v>
      </c>
      <c r="F66" s="6">
        <f>'F100 Detail'!F66+'F200 Detail'!F66+'F500 Detail'!F66+'F600 Detail'!F66</f>
        <v>0</v>
      </c>
      <c r="G66" s="9">
        <f t="shared" si="11"/>
        <v>0</v>
      </c>
      <c r="I66" s="9"/>
    </row>
    <row r="67" spans="1:9" s="4" customFormat="1" ht="15">
      <c r="A67" s="8" t="s">
        <v>39</v>
      </c>
      <c r="B67" s="6">
        <f>'F100 Detail'!B67+'F200 Detail'!B67+'F500 Detail'!B67+'F600 Detail'!B67</f>
        <v>0</v>
      </c>
      <c r="C67" s="6">
        <f>'F100 Detail'!C67+'F200 Detail'!C67+'F500 Detail'!C67+'F600 Detail'!C67</f>
        <v>0</v>
      </c>
      <c r="D67" s="6">
        <f>'F100 Detail'!D67+'F200 Detail'!D67+'F500 Detail'!D67+'F600 Detail'!D67</f>
        <v>0</v>
      </c>
      <c r="E67" s="6">
        <f>'F100 Detail'!E67+'F200 Detail'!E67+'F500 Detail'!E67+'F600 Detail'!E67</f>
        <v>0</v>
      </c>
      <c r="F67" s="6">
        <f>'F100 Detail'!F67+'F200 Detail'!F67+'F500 Detail'!F67+'F600 Detail'!F67</f>
        <v>0</v>
      </c>
      <c r="G67" s="9">
        <f t="shared" si="11"/>
        <v>0</v>
      </c>
      <c r="I67" s="9"/>
    </row>
    <row r="68" spans="1:9" s="4" customFormat="1" ht="17.25">
      <c r="A68" s="8" t="s">
        <v>40</v>
      </c>
      <c r="B68" s="19">
        <f>'F100 Detail'!B68+'F200 Detail'!B68+'F500 Detail'!B68+'F600 Detail'!B68</f>
        <v>0</v>
      </c>
      <c r="C68" s="19">
        <f>'F100 Detail'!C68+'F200 Detail'!C68+'F500 Detail'!C68+'F600 Detail'!C68</f>
        <v>0</v>
      </c>
      <c r="D68" s="19">
        <f>'F100 Detail'!D68+'F200 Detail'!D68+'F500 Detail'!D68+'F600 Detail'!D68</f>
        <v>0</v>
      </c>
      <c r="E68" s="19">
        <f>'F100 Detail'!E68+'F200 Detail'!E68+'F500 Detail'!E68+'F600 Detail'!E68</f>
        <v>0</v>
      </c>
      <c r="F68" s="19">
        <f>'F100 Detail'!F68+'F200 Detail'!F68+'F500 Detail'!F68+'F600 Detail'!F68</f>
        <v>0</v>
      </c>
      <c r="G68" s="10">
        <f t="shared" si="11"/>
        <v>0</v>
      </c>
      <c r="I68" s="9"/>
    </row>
    <row r="69" spans="1:9" s="4" customFormat="1" ht="17.25">
      <c r="A69" s="8" t="s">
        <v>42</v>
      </c>
      <c r="B69" s="19">
        <f>'F100 Detail'!B69+'F200 Detail'!B69+'F500 Detail'!B69+'F600 Detail'!B69</f>
        <v>253047.35</v>
      </c>
      <c r="C69" s="19">
        <f>SUM(C63:C68)</f>
        <v>250753.81</v>
      </c>
      <c r="D69" s="19">
        <f>SUM(D63:D68)</f>
        <v>259530</v>
      </c>
      <c r="E69" s="19">
        <f>SUM(E63:E68)</f>
        <v>275396.77999999997</v>
      </c>
      <c r="F69" s="19">
        <f>SUM(F63:F68)</f>
        <v>430776.26</v>
      </c>
      <c r="G69" s="37">
        <f>SUM(G63:G68)</f>
        <v>171246.26</v>
      </c>
      <c r="I69" s="9"/>
    </row>
    <row r="70" spans="1:9" s="4" customFormat="1" ht="15">
      <c r="A70" s="7"/>
      <c r="B70" s="54"/>
      <c r="C70" s="54"/>
      <c r="D70" s="54"/>
      <c r="E70" s="54"/>
      <c r="F70" s="54"/>
      <c r="G70" s="38"/>
      <c r="I70" s="9"/>
    </row>
    <row r="71" spans="1:9" s="4" customFormat="1" ht="15">
      <c r="A71" s="7" t="s">
        <v>48</v>
      </c>
      <c r="B71" s="6"/>
      <c r="C71" s="6"/>
      <c r="D71" s="6"/>
      <c r="E71" s="6"/>
      <c r="F71" s="6"/>
      <c r="G71" s="9"/>
      <c r="I71" s="9"/>
    </row>
    <row r="72" spans="1:9" s="4" customFormat="1" ht="15">
      <c r="A72" s="8" t="s">
        <v>35</v>
      </c>
      <c r="B72" s="6">
        <f>'F100 Detail'!B72+'F200 Detail'!B72+'F500 Detail'!B72+'F600 Detail'!B72</f>
        <v>1777556.5799999998</v>
      </c>
      <c r="C72" s="6">
        <f>'F100 Detail'!C72+'F200 Detail'!C72+'F500 Detail'!C72+'F600 Detail'!C72</f>
        <v>1842652.3800000006</v>
      </c>
      <c r="D72" s="6">
        <f>'F100 Detail'!D72+'F200 Detail'!D72+'F500 Detail'!D72+'F600 Detail'!D72</f>
        <v>2170607</v>
      </c>
      <c r="E72" s="6">
        <f>'F100 Detail'!E72+'F200 Detail'!E72+'F500 Detail'!E72+'F600 Detail'!E72</f>
        <v>2417339.64</v>
      </c>
      <c r="F72" s="6">
        <f>'F100 Detail'!F72+'F200 Detail'!F72+'F500 Detail'!F72+'F600 Detail'!F72</f>
        <v>2483138</v>
      </c>
      <c r="G72" s="36">
        <f t="shared" ref="G72:G77" si="12">F72-D72</f>
        <v>312531</v>
      </c>
      <c r="I72" s="9"/>
    </row>
    <row r="73" spans="1:9" s="4" customFormat="1" ht="15">
      <c r="A73" s="8" t="s">
        <v>36</v>
      </c>
      <c r="B73" s="6">
        <f>'F100 Detail'!B73+'F200 Detail'!B73+'F500 Detail'!B73+'F600 Detail'!B73</f>
        <v>10242</v>
      </c>
      <c r="C73" s="6">
        <f>'F100 Detail'!C73+'F200 Detail'!C73+'F500 Detail'!C73+'F600 Detail'!C73</f>
        <v>4920</v>
      </c>
      <c r="D73" s="6">
        <f>'F100 Detail'!D73+'F200 Detail'!D73+'F500 Detail'!D73+'F600 Detail'!D73</f>
        <v>2538</v>
      </c>
      <c r="E73" s="6">
        <f>'F100 Detail'!E73+'F200 Detail'!E73+'F500 Detail'!E73+'F600 Detail'!E73</f>
        <v>4289</v>
      </c>
      <c r="F73" s="6">
        <f>'F100 Detail'!F73+'F200 Detail'!F73+'F500 Detail'!F73+'F600 Detail'!F73</f>
        <v>4289</v>
      </c>
      <c r="G73" s="9">
        <f t="shared" si="12"/>
        <v>1751</v>
      </c>
      <c r="I73" s="9"/>
    </row>
    <row r="74" spans="1:9" s="4" customFormat="1" ht="15">
      <c r="A74" s="8" t="s">
        <v>37</v>
      </c>
      <c r="B74" s="6">
        <f>'F100 Detail'!B74+'F200 Detail'!B74+'F500 Detail'!B74+'F600 Detail'!B74</f>
        <v>55103.689999999995</v>
      </c>
      <c r="C74" s="6">
        <f>'F100 Detail'!C74+'F200 Detail'!C74+'F500 Detail'!C74+'F600 Detail'!C74</f>
        <v>36007.53</v>
      </c>
      <c r="D74" s="6">
        <f>'F100 Detail'!D74+'F200 Detail'!D74+'F500 Detail'!D74+'F600 Detail'!D74</f>
        <v>121961.17</v>
      </c>
      <c r="E74" s="6">
        <f>'F100 Detail'!E74+'F200 Detail'!E74+'F500 Detail'!E74+'F600 Detail'!E74</f>
        <v>65629.23</v>
      </c>
      <c r="F74" s="6">
        <f>'F100 Detail'!F74+'F200 Detail'!F74+'F500 Detail'!F74+'F600 Detail'!F74</f>
        <v>60530</v>
      </c>
      <c r="G74" s="9">
        <f t="shared" si="12"/>
        <v>-61431.17</v>
      </c>
      <c r="I74" s="9"/>
    </row>
    <row r="75" spans="1:9" s="4" customFormat="1" ht="15">
      <c r="A75" s="8" t="s">
        <v>38</v>
      </c>
      <c r="B75" s="6">
        <f>'F100 Detail'!B75+'F200 Detail'!B75+'F500 Detail'!B75+'F600 Detail'!B75</f>
        <v>5791.38</v>
      </c>
      <c r="C75" s="6">
        <f>'F100 Detail'!C75+'F200 Detail'!C75+'F500 Detail'!C75+'F600 Detail'!C75</f>
        <v>7274.5</v>
      </c>
      <c r="D75" s="6">
        <f>'F100 Detail'!D75+'F200 Detail'!D75+'F500 Detail'!D75+'F600 Detail'!D75</f>
        <v>3766</v>
      </c>
      <c r="E75" s="6">
        <f>'F100 Detail'!E75+'F200 Detail'!E75+'F500 Detail'!E75+'F600 Detail'!E75</f>
        <v>13022</v>
      </c>
      <c r="F75" s="6">
        <f>'F100 Detail'!F75+'F200 Detail'!F75+'F500 Detail'!F75+'F600 Detail'!F75</f>
        <v>15686</v>
      </c>
      <c r="G75" s="9">
        <f t="shared" si="12"/>
        <v>11920</v>
      </c>
      <c r="I75" s="9"/>
    </row>
    <row r="76" spans="1:9" s="4" customFormat="1" ht="15">
      <c r="A76" s="8" t="s">
        <v>39</v>
      </c>
      <c r="B76" s="6">
        <f>'F100 Detail'!B76+'F200 Detail'!B76+'F500 Detail'!B76+'F600 Detail'!B76</f>
        <v>0</v>
      </c>
      <c r="C76" s="6">
        <f>'F100 Detail'!C76+'F200 Detail'!C76+'F500 Detail'!C76+'F600 Detail'!C76</f>
        <v>0</v>
      </c>
      <c r="D76" s="6">
        <f>'F100 Detail'!D76+'F200 Detail'!D76+'F500 Detail'!D76+'F600 Detail'!D76</f>
        <v>0</v>
      </c>
      <c r="E76" s="6">
        <f>'F100 Detail'!E76+'F200 Detail'!E76+'F500 Detail'!E76+'F600 Detail'!E76</f>
        <v>0</v>
      </c>
      <c r="F76" s="6">
        <f>'F100 Detail'!F76+'F200 Detail'!F76+'F500 Detail'!F76+'F600 Detail'!F76</f>
        <v>0</v>
      </c>
      <c r="G76" s="9">
        <f t="shared" si="12"/>
        <v>0</v>
      </c>
      <c r="I76" s="9"/>
    </row>
    <row r="77" spans="1:9" s="4" customFormat="1" ht="17.25">
      <c r="A77" s="8" t="s">
        <v>40</v>
      </c>
      <c r="B77" s="19">
        <f>'F100 Detail'!B77+'F200 Detail'!B77+'F500 Detail'!B77+'F600 Detail'!B77</f>
        <v>0</v>
      </c>
      <c r="C77" s="19">
        <f>'F100 Detail'!C77+'F200 Detail'!C77+'F500 Detail'!C77+'F600 Detail'!C77</f>
        <v>6950</v>
      </c>
      <c r="D77" s="19">
        <f>'F100 Detail'!D77+'F200 Detail'!D77+'F500 Detail'!D77+'F600 Detail'!D77</f>
        <v>0</v>
      </c>
      <c r="E77" s="19">
        <f>'F100 Detail'!E77+'F200 Detail'!E77+'F500 Detail'!E77+'F600 Detail'!E77</f>
        <v>0</v>
      </c>
      <c r="F77" s="19">
        <f>'F100 Detail'!F77+'F200 Detail'!F77+'F500 Detail'!F77+'F600 Detail'!F77</f>
        <v>0</v>
      </c>
      <c r="G77" s="10">
        <f t="shared" si="12"/>
        <v>0</v>
      </c>
      <c r="I77" s="9"/>
    </row>
    <row r="78" spans="1:9" s="4" customFormat="1" ht="17.25">
      <c r="A78" s="8" t="s">
        <v>42</v>
      </c>
      <c r="B78" s="19">
        <f>'F100 Detail'!B78+'F200 Detail'!B78+'F500 Detail'!B78+'F600 Detail'!B78</f>
        <v>1848693.65</v>
      </c>
      <c r="C78" s="19">
        <f>SUM(C72:C77)</f>
        <v>1897804.4100000006</v>
      </c>
      <c r="D78" s="19">
        <f>SUM(D72:D77)</f>
        <v>2298872.17</v>
      </c>
      <c r="E78" s="19">
        <f>SUM(E72:E77)</f>
        <v>2500279.87</v>
      </c>
      <c r="F78" s="19">
        <f>SUM(F72:F77)</f>
        <v>2563643</v>
      </c>
      <c r="G78" s="37">
        <f>SUM(G72:G77)</f>
        <v>264770.83</v>
      </c>
      <c r="I78" s="9"/>
    </row>
    <row r="79" spans="1:9" s="4" customFormat="1" ht="15">
      <c r="A79" s="8"/>
      <c r="B79" s="54"/>
      <c r="C79" s="54"/>
      <c r="D79" s="54"/>
      <c r="E79" s="54"/>
      <c r="F79" s="54"/>
      <c r="G79" s="37"/>
      <c r="I79" s="9"/>
    </row>
    <row r="80" spans="1:9" s="4" customFormat="1" ht="15">
      <c r="A80" s="7" t="s">
        <v>49</v>
      </c>
      <c r="B80" s="6"/>
      <c r="C80" s="6"/>
      <c r="D80" s="6"/>
      <c r="E80" s="6"/>
      <c r="F80" s="6"/>
      <c r="G80" s="9"/>
      <c r="I80" s="9"/>
    </row>
    <row r="81" spans="1:9" s="4" customFormat="1" ht="15">
      <c r="A81" s="8" t="s">
        <v>35</v>
      </c>
      <c r="B81" s="6">
        <f>'F100 Detail'!B81+'F200 Detail'!B81+'F500 Detail'!B81+'F600 Detail'!B81</f>
        <v>0</v>
      </c>
      <c r="C81" s="6">
        <f>'F100 Detail'!C81+'F200 Detail'!C81+'F500 Detail'!C81+'F600 Detail'!C81</f>
        <v>7994.3200000000006</v>
      </c>
      <c r="D81" s="6">
        <f>'F100 Detail'!D81+'F200 Detail'!D81+'F500 Detail'!D81+'F600 Detail'!D81</f>
        <v>0</v>
      </c>
      <c r="E81" s="6">
        <f>'F100 Detail'!E81+'F200 Detail'!E81+'F500 Detail'!E81+'F600 Detail'!E81</f>
        <v>0</v>
      </c>
      <c r="F81" s="6">
        <f>'F100 Detail'!F81+'F200 Detail'!F81+'F500 Detail'!F81+'F600 Detail'!F81</f>
        <v>0</v>
      </c>
      <c r="G81" s="36">
        <f t="shared" ref="G81:G86" si="13">F81-D81</f>
        <v>0</v>
      </c>
      <c r="I81" s="9"/>
    </row>
    <row r="82" spans="1:9" s="4" customFormat="1" ht="15">
      <c r="A82" s="8" t="s">
        <v>36</v>
      </c>
      <c r="B82" s="6">
        <f>'F100 Detail'!B82+'F200 Detail'!B82+'F500 Detail'!B82+'F600 Detail'!B82</f>
        <v>7836137.71</v>
      </c>
      <c r="C82" s="6">
        <f>'F100 Detail'!C82+'F200 Detail'!C82+'F500 Detail'!C82+'F600 Detail'!C82</f>
        <v>8982035.4199999999</v>
      </c>
      <c r="D82" s="6">
        <f>'F100 Detail'!D82+'F200 Detail'!D82+'F500 Detail'!D82+'F600 Detail'!D82</f>
        <v>9700194</v>
      </c>
      <c r="E82" s="6">
        <f>'F100 Detail'!E82+'F200 Detail'!E82+'F500 Detail'!E82+'F600 Detail'!E82</f>
        <v>9996852</v>
      </c>
      <c r="F82" s="6">
        <f>'F100 Detail'!F82+'F200 Detail'!F82+'F500 Detail'!F82+'F600 Detail'!F82</f>
        <v>11144000</v>
      </c>
      <c r="G82" s="9">
        <f t="shared" si="13"/>
        <v>1443806</v>
      </c>
      <c r="I82" s="9"/>
    </row>
    <row r="83" spans="1:9" s="4" customFormat="1" ht="15">
      <c r="A83" s="8" t="s">
        <v>37</v>
      </c>
      <c r="B83" s="6">
        <f>'F100 Detail'!B83+'F200 Detail'!B83+'F500 Detail'!B83+'F600 Detail'!B83</f>
        <v>642516.72</v>
      </c>
      <c r="C83" s="6">
        <f>'F100 Detail'!C83+'F200 Detail'!C83+'F500 Detail'!C83+'F600 Detail'!C83</f>
        <v>901672</v>
      </c>
      <c r="D83" s="6">
        <f>'F100 Detail'!D83+'F200 Detail'!D83+'F500 Detail'!D83+'F600 Detail'!D83</f>
        <v>992332</v>
      </c>
      <c r="E83" s="6">
        <f>'F100 Detail'!E83+'F200 Detail'!E83+'F500 Detail'!E83+'F600 Detail'!E83</f>
        <v>1018693</v>
      </c>
      <c r="F83" s="6">
        <f>'F100 Detail'!F83+'F200 Detail'!F83+'F500 Detail'!F83+'F600 Detail'!F83</f>
        <v>1140054</v>
      </c>
      <c r="G83" s="9">
        <f t="shared" si="13"/>
        <v>147722</v>
      </c>
      <c r="I83" s="9"/>
    </row>
    <row r="84" spans="1:9" s="4" customFormat="1" ht="15">
      <c r="A84" s="8" t="s">
        <v>38</v>
      </c>
      <c r="B84" s="6">
        <f>'F100 Detail'!B84+'F200 Detail'!B84+'F500 Detail'!B84+'F600 Detail'!B84</f>
        <v>240785.74</v>
      </c>
      <c r="C84" s="6">
        <f>'F100 Detail'!C84+'F200 Detail'!C84+'F500 Detail'!C84+'F600 Detail'!C84</f>
        <v>58948</v>
      </c>
      <c r="D84" s="6">
        <f>'F100 Detail'!D84+'F200 Detail'!D84+'F500 Detail'!D84+'F600 Detail'!D84</f>
        <v>55867</v>
      </c>
      <c r="E84" s="6">
        <f>'F100 Detail'!E84+'F200 Detail'!E84+'F500 Detail'!E84+'F600 Detail'!E84</f>
        <v>152000</v>
      </c>
      <c r="F84" s="6">
        <f>'F100 Detail'!F84+'F200 Detail'!F84+'F500 Detail'!F84+'F600 Detail'!F84</f>
        <v>152000</v>
      </c>
      <c r="G84" s="9">
        <f t="shared" si="13"/>
        <v>96133</v>
      </c>
      <c r="I84" s="9"/>
    </row>
    <row r="85" spans="1:9" s="4" customFormat="1" ht="15">
      <c r="A85" s="8" t="s">
        <v>39</v>
      </c>
      <c r="B85" s="6">
        <f>'F100 Detail'!B85+'F200 Detail'!B85+'F500 Detail'!B85+'F600 Detail'!B85</f>
        <v>0</v>
      </c>
      <c r="C85" s="6">
        <f>'F100 Detail'!C85+'F200 Detail'!C85+'F500 Detail'!C85+'F600 Detail'!C85</f>
        <v>0</v>
      </c>
      <c r="D85" s="6">
        <f>'F100 Detail'!D85+'F200 Detail'!D85+'F500 Detail'!D85+'F600 Detail'!D85</f>
        <v>0</v>
      </c>
      <c r="E85" s="6">
        <f>'F100 Detail'!E85+'F200 Detail'!E85+'F500 Detail'!E85+'F600 Detail'!E85</f>
        <v>0</v>
      </c>
      <c r="F85" s="6">
        <f>'F100 Detail'!F85+'F200 Detail'!F85+'F500 Detail'!F85+'F600 Detail'!F85</f>
        <v>0</v>
      </c>
      <c r="G85" s="9">
        <f t="shared" si="13"/>
        <v>0</v>
      </c>
      <c r="I85" s="9"/>
    </row>
    <row r="86" spans="1:9" s="4" customFormat="1" ht="17.25">
      <c r="A86" s="8" t="s">
        <v>40</v>
      </c>
      <c r="B86" s="19">
        <f>'F100 Detail'!B86+'F200 Detail'!B86+'F500 Detail'!B86+'F600 Detail'!B86</f>
        <v>1489.23</v>
      </c>
      <c r="C86" s="19">
        <f>'F100 Detail'!C86+'F200 Detail'!C86+'F500 Detail'!C86+'F600 Detail'!C86</f>
        <v>14741663</v>
      </c>
      <c r="D86" s="19">
        <f>'F100 Detail'!D86+'F200 Detail'!D86+'F500 Detail'!D86+'F600 Detail'!D86</f>
        <v>6165918.0499999998</v>
      </c>
      <c r="E86" s="19">
        <f>'F100 Detail'!E86+'F200 Detail'!E86+'F500 Detail'!E86+'F600 Detail'!E86</f>
        <v>0</v>
      </c>
      <c r="F86" s="19">
        <f>'F100 Detail'!F86+'F200 Detail'!F86+'F500 Detail'!F86+'F600 Detail'!F86</f>
        <v>0</v>
      </c>
      <c r="G86" s="10">
        <f t="shared" si="13"/>
        <v>-6165918.0499999998</v>
      </c>
      <c r="I86" s="9"/>
    </row>
    <row r="87" spans="1:9" s="4" customFormat="1" ht="17.25">
      <c r="A87" s="8" t="s">
        <v>42</v>
      </c>
      <c r="B87" s="19">
        <f>'F100 Detail'!B87+'F200 Detail'!B87+'F500 Detail'!B87+'F600 Detail'!B87</f>
        <v>8720929.4000000004</v>
      </c>
      <c r="C87" s="19">
        <f>SUM(C81:C86)</f>
        <v>24692312.740000002</v>
      </c>
      <c r="D87" s="19">
        <f>SUM(D81:D86)</f>
        <v>16914311.050000001</v>
      </c>
      <c r="E87" s="19">
        <f>SUM(E81:E86)</f>
        <v>11167545</v>
      </c>
      <c r="F87" s="19">
        <f>SUM(F81:F86)</f>
        <v>12436054</v>
      </c>
      <c r="G87" s="37">
        <f>SUM(G81:G86)</f>
        <v>-4478257.05</v>
      </c>
      <c r="I87" s="9"/>
    </row>
    <row r="88" spans="1:9" s="4" customFormat="1" ht="15">
      <c r="A88" s="7"/>
      <c r="B88" s="54"/>
      <c r="C88" s="54"/>
      <c r="D88" s="54"/>
      <c r="E88" s="54"/>
      <c r="F88" s="54"/>
      <c r="G88" s="38"/>
      <c r="I88" s="9"/>
    </row>
    <row r="89" spans="1:9" s="4" customFormat="1" ht="15">
      <c r="A89" s="7" t="s">
        <v>50</v>
      </c>
      <c r="B89" s="6"/>
      <c r="C89" s="6"/>
      <c r="D89" s="6"/>
      <c r="E89" s="6"/>
      <c r="F89" s="6"/>
      <c r="G89" s="9"/>
      <c r="I89" s="9"/>
    </row>
    <row r="90" spans="1:9" s="4" customFormat="1" ht="15">
      <c r="A90" s="8" t="s">
        <v>35</v>
      </c>
      <c r="B90" s="6">
        <f>'F100 Detail'!B90+'F200 Detail'!B90+'F500 Detail'!B90+'F600 Detail'!B90</f>
        <v>0</v>
      </c>
      <c r="C90" s="6">
        <f>'F100 Detail'!C90+'F200 Detail'!C90+'F500 Detail'!C90+'F600 Detail'!C90</f>
        <v>0</v>
      </c>
      <c r="D90" s="6">
        <f>'F100 Detail'!D90+'F200 Detail'!D90+'F500 Detail'!D90+'F600 Detail'!D90</f>
        <v>0</v>
      </c>
      <c r="E90" s="6">
        <f>'F100 Detail'!E90+'F200 Detail'!E90+'F500 Detail'!E90+'F600 Detail'!E90</f>
        <v>0</v>
      </c>
      <c r="F90" s="6">
        <f>'F100 Detail'!F90+'F200 Detail'!F90+'F500 Detail'!F90+'F600 Detail'!F90</f>
        <v>0</v>
      </c>
      <c r="G90" s="36">
        <f t="shared" ref="G90:G95" si="14">F90-D90</f>
        <v>0</v>
      </c>
      <c r="I90" s="9"/>
    </row>
    <row r="91" spans="1:9" s="4" customFormat="1" ht="15">
      <c r="A91" s="8" t="s">
        <v>36</v>
      </c>
      <c r="B91" s="6">
        <f>'F100 Detail'!B91+'F200 Detail'!B91+'F500 Detail'!B91+'F600 Detail'!B91</f>
        <v>7550405.1200000001</v>
      </c>
      <c r="C91" s="6">
        <f>'F100 Detail'!C91+'F200 Detail'!C91+'F500 Detail'!C91+'F600 Detail'!C91</f>
        <v>7660609.6299999999</v>
      </c>
      <c r="D91" s="6">
        <f>'F100 Detail'!D91+'F200 Detail'!D91+'F500 Detail'!D91+'F600 Detail'!D91</f>
        <v>8804443</v>
      </c>
      <c r="E91" s="6">
        <f>'F100 Detail'!E91+'F200 Detail'!E91+'F500 Detail'!E91+'F600 Detail'!E91</f>
        <v>8850753</v>
      </c>
      <c r="F91" s="6">
        <f>'F100 Detail'!F91+'F200 Detail'!F91+'F500 Detail'!F91+'F600 Detail'!F91</f>
        <v>9744044</v>
      </c>
      <c r="G91" s="9">
        <f t="shared" si="14"/>
        <v>939601</v>
      </c>
      <c r="I91" s="9"/>
    </row>
    <row r="92" spans="1:9" s="4" customFormat="1" ht="15">
      <c r="A92" s="8" t="s">
        <v>37</v>
      </c>
      <c r="B92" s="6">
        <f>'F100 Detail'!B92+'F200 Detail'!B92+'F500 Detail'!B92+'F600 Detail'!B92</f>
        <v>396844.79</v>
      </c>
      <c r="C92" s="6">
        <f>'F100 Detail'!C92+'F200 Detail'!C92+'F500 Detail'!C92+'F600 Detail'!C92</f>
        <v>340247.76999999996</v>
      </c>
      <c r="D92" s="6">
        <f>'F100 Detail'!D92+'F200 Detail'!D92+'F500 Detail'!D92+'F600 Detail'!D92</f>
        <v>466427</v>
      </c>
      <c r="E92" s="6">
        <f>'F100 Detail'!E92+'F200 Detail'!E92+'F500 Detail'!E92+'F600 Detail'!E92</f>
        <v>353741</v>
      </c>
      <c r="F92" s="6">
        <f>'F100 Detail'!F92+'F200 Detail'!F92+'F500 Detail'!F92+'F600 Detail'!F92</f>
        <v>353741</v>
      </c>
      <c r="G92" s="9">
        <f t="shared" si="14"/>
        <v>-112686</v>
      </c>
      <c r="I92" s="9"/>
    </row>
    <row r="93" spans="1:9" s="4" customFormat="1" ht="15">
      <c r="A93" s="8" t="s">
        <v>38</v>
      </c>
      <c r="B93" s="6">
        <f>'F100 Detail'!B93+'F200 Detail'!B93+'F500 Detail'!B93+'F600 Detail'!B93</f>
        <v>103870.18</v>
      </c>
      <c r="C93" s="6">
        <f>'F100 Detail'!C93+'F200 Detail'!C93+'F500 Detail'!C93+'F600 Detail'!C93</f>
        <v>10000</v>
      </c>
      <c r="D93" s="6">
        <f>'F100 Detail'!D93+'F200 Detail'!D93+'F500 Detail'!D93+'F600 Detail'!D93</f>
        <v>2200</v>
      </c>
      <c r="E93" s="6">
        <f>'F100 Detail'!E93+'F200 Detail'!E93+'F500 Detail'!E93+'F600 Detail'!E93</f>
        <v>0</v>
      </c>
      <c r="F93" s="6">
        <f>'F100 Detail'!F93+'F200 Detail'!F93+'F500 Detail'!F93+'F600 Detail'!F93</f>
        <v>0</v>
      </c>
      <c r="G93" s="9">
        <f t="shared" si="14"/>
        <v>-2200</v>
      </c>
      <c r="I93" s="9"/>
    </row>
    <row r="94" spans="1:9" s="4" customFormat="1" ht="15">
      <c r="A94" s="8" t="s">
        <v>39</v>
      </c>
      <c r="B94" s="6">
        <f>'F100 Detail'!B94+'F200 Detail'!B94+'F500 Detail'!B94+'F600 Detail'!B94</f>
        <v>0</v>
      </c>
      <c r="C94" s="6">
        <f>'F100 Detail'!C94+'F200 Detail'!C94+'F500 Detail'!C94+'F600 Detail'!C94</f>
        <v>0</v>
      </c>
      <c r="D94" s="6">
        <f>'F100 Detail'!D94+'F200 Detail'!D94+'F500 Detail'!D94+'F600 Detail'!D94</f>
        <v>0</v>
      </c>
      <c r="E94" s="6">
        <f>'F100 Detail'!E94+'F200 Detail'!E94+'F500 Detail'!E94+'F600 Detail'!E94</f>
        <v>0</v>
      </c>
      <c r="F94" s="6">
        <f>'F100 Detail'!F94+'F200 Detail'!F94+'F500 Detail'!F94+'F600 Detail'!F94</f>
        <v>0</v>
      </c>
      <c r="G94" s="9">
        <f t="shared" si="14"/>
        <v>0</v>
      </c>
      <c r="I94" s="9"/>
    </row>
    <row r="95" spans="1:9" s="4" customFormat="1" ht="17.25">
      <c r="A95" s="8" t="s">
        <v>40</v>
      </c>
      <c r="B95" s="19">
        <f>'F100 Detail'!B95+'F200 Detail'!B95+'F500 Detail'!B95+'F600 Detail'!B95</f>
        <v>9250</v>
      </c>
      <c r="C95" s="19">
        <f>'F100 Detail'!C95+'F200 Detail'!C95+'F500 Detail'!C95+'F600 Detail'!C95</f>
        <v>80344.72</v>
      </c>
      <c r="D95" s="19">
        <f>'F100 Detail'!D95+'F200 Detail'!D95+'F500 Detail'!D95+'F600 Detail'!D95</f>
        <v>14964</v>
      </c>
      <c r="E95" s="19">
        <f>'F100 Detail'!E95+'F200 Detail'!E95+'F500 Detail'!E95+'F600 Detail'!E95</f>
        <v>0</v>
      </c>
      <c r="F95" s="19">
        <f>'F100 Detail'!F95+'F200 Detail'!F95+'F500 Detail'!F95+'F600 Detail'!F95</f>
        <v>0</v>
      </c>
      <c r="G95" s="10">
        <f t="shared" si="14"/>
        <v>-14964</v>
      </c>
      <c r="I95" s="9"/>
    </row>
    <row r="96" spans="1:9" s="4" customFormat="1" ht="17.25">
      <c r="A96" s="8" t="s">
        <v>42</v>
      </c>
      <c r="B96" s="19">
        <f>'F100 Detail'!B96+'F200 Detail'!B96+'F500 Detail'!B96+'F600 Detail'!B96</f>
        <v>8060370.0899999999</v>
      </c>
      <c r="C96" s="19">
        <f>SUM(C90:C95)</f>
        <v>8091202.1199999992</v>
      </c>
      <c r="D96" s="19">
        <f>SUM(D90:D95)</f>
        <v>9288034</v>
      </c>
      <c r="E96" s="19">
        <f>SUM(E90:E95)</f>
        <v>9204494</v>
      </c>
      <c r="F96" s="19">
        <f>SUM(F90:F95)</f>
        <v>10097785</v>
      </c>
      <c r="G96" s="37">
        <f>SUM(G90:G95)</f>
        <v>809751</v>
      </c>
      <c r="I96" s="9"/>
    </row>
    <row r="97" spans="1:9" s="4" customFormat="1" ht="17.25">
      <c r="A97" s="8"/>
      <c r="B97" s="19"/>
      <c r="C97" s="19"/>
      <c r="D97" s="19"/>
      <c r="E97" s="19"/>
      <c r="F97" s="19"/>
      <c r="G97" s="37"/>
      <c r="I97" s="9"/>
    </row>
    <row r="98" spans="1:9" s="4" customFormat="1" ht="15">
      <c r="A98" s="7" t="s">
        <v>51</v>
      </c>
      <c r="B98" s="6"/>
      <c r="C98" s="6"/>
      <c r="D98" s="6"/>
      <c r="E98" s="6"/>
      <c r="F98" s="6"/>
      <c r="G98" s="9"/>
      <c r="I98" s="9"/>
    </row>
    <row r="99" spans="1:9" s="4" customFormat="1" ht="15">
      <c r="A99" s="8" t="s">
        <v>35</v>
      </c>
      <c r="B99" s="6">
        <f>'F100 Detail'!B99+'F200 Detail'!B99+'F500 Detail'!B99+'F600 Detail'!B99</f>
        <v>3324249.3700000015</v>
      </c>
      <c r="C99" s="6">
        <f>'F100 Detail'!C99+'F200 Detail'!C99+'F500 Detail'!C99+'F600 Detail'!C99</f>
        <v>3879262.1599999997</v>
      </c>
      <c r="D99" s="6">
        <f>'F100 Detail'!D99+'F200 Detail'!D99+'F500 Detail'!D99+'F600 Detail'!D99</f>
        <v>4006646</v>
      </c>
      <c r="E99" s="6">
        <f>'F100 Detail'!E99+'F200 Detail'!E99+'F500 Detail'!E99+'F600 Detail'!E99</f>
        <v>4013158.0799999991</v>
      </c>
      <c r="F99" s="6">
        <f>'F100 Detail'!F99+'F200 Detail'!F99+'F500 Detail'!F99+'F600 Detail'!F99</f>
        <v>3743397</v>
      </c>
      <c r="G99" s="36">
        <f t="shared" ref="G99:G104" si="15">F99-D99</f>
        <v>-263249</v>
      </c>
      <c r="I99" s="9"/>
    </row>
    <row r="100" spans="1:9" s="4" customFormat="1" ht="15">
      <c r="A100" s="8" t="s">
        <v>36</v>
      </c>
      <c r="B100" s="6">
        <f>'F100 Detail'!B100+'F200 Detail'!B100+'F500 Detail'!B100+'F600 Detail'!B100</f>
        <v>886415.64999999991</v>
      </c>
      <c r="C100" s="6">
        <f>'F100 Detail'!C100+'F200 Detail'!C100+'F500 Detail'!C100+'F600 Detail'!C100</f>
        <v>953160.39000000013</v>
      </c>
      <c r="D100" s="6">
        <f>'F100 Detail'!D100+'F200 Detail'!D100+'F500 Detail'!D100+'F600 Detail'!D100</f>
        <v>1021284</v>
      </c>
      <c r="E100" s="6">
        <f>'F100 Detail'!E100+'F200 Detail'!E100+'F500 Detail'!E100+'F600 Detail'!E100</f>
        <v>957935</v>
      </c>
      <c r="F100" s="6">
        <f>'F100 Detail'!F100+'F200 Detail'!F100+'F500 Detail'!F100+'F600 Detail'!F100</f>
        <v>981651</v>
      </c>
      <c r="G100" s="9">
        <f t="shared" si="15"/>
        <v>-39633</v>
      </c>
      <c r="I100" s="9"/>
    </row>
    <row r="101" spans="1:9" s="4" customFormat="1" ht="15">
      <c r="A101" s="8" t="s">
        <v>37</v>
      </c>
      <c r="B101" s="6">
        <f>'F100 Detail'!B101+'F200 Detail'!B101+'F500 Detail'!B101+'F600 Detail'!B101</f>
        <v>3305934.71</v>
      </c>
      <c r="C101" s="6">
        <f>'F100 Detail'!C101+'F200 Detail'!C101+'F500 Detail'!C101+'F600 Detail'!C101</f>
        <v>2679470.2200000007</v>
      </c>
      <c r="D101" s="6">
        <f>'F100 Detail'!D101+'F200 Detail'!D101+'F500 Detail'!D101+'F600 Detail'!D101</f>
        <v>3517760.5300000003</v>
      </c>
      <c r="E101" s="6">
        <f>'F100 Detail'!E101+'F200 Detail'!E101+'F500 Detail'!E101+'F600 Detail'!E101</f>
        <v>2050494.83</v>
      </c>
      <c r="F101" s="6">
        <f>'F100 Detail'!F101+'F200 Detail'!F101+'F500 Detail'!F101+'F600 Detail'!F101</f>
        <v>1756016.9</v>
      </c>
      <c r="G101" s="9">
        <f t="shared" si="15"/>
        <v>-1761743.6300000004</v>
      </c>
      <c r="I101" s="9"/>
    </row>
    <row r="102" spans="1:9" s="4" customFormat="1" ht="15">
      <c r="A102" s="8" t="s">
        <v>38</v>
      </c>
      <c r="B102" s="6">
        <f>'F100 Detail'!B102+'F200 Detail'!B102+'F500 Detail'!B102+'F600 Detail'!B102</f>
        <v>1584811.6000000003</v>
      </c>
      <c r="C102" s="6">
        <f>'F100 Detail'!C102+'F200 Detail'!C102+'F500 Detail'!C102+'F600 Detail'!C102</f>
        <v>1757046.3299999996</v>
      </c>
      <c r="D102" s="6">
        <f>'F100 Detail'!D102+'F200 Detail'!D102+'F500 Detail'!D102+'F600 Detail'!D102</f>
        <v>445582</v>
      </c>
      <c r="E102" s="6">
        <f>'F100 Detail'!E102+'F200 Detail'!E102+'F500 Detail'!E102+'F600 Detail'!E102</f>
        <v>1264596</v>
      </c>
      <c r="F102" s="6">
        <f>'F100 Detail'!F102+'F200 Detail'!F102+'F500 Detail'!F102+'F600 Detail'!F102</f>
        <v>4539584.5299999993</v>
      </c>
      <c r="G102" s="9">
        <f t="shared" si="15"/>
        <v>4094002.5299999993</v>
      </c>
      <c r="I102" s="9"/>
    </row>
    <row r="103" spans="1:9" s="4" customFormat="1" ht="15">
      <c r="A103" s="8" t="s">
        <v>39</v>
      </c>
      <c r="B103" s="6">
        <f>'F100 Detail'!B103+'F200 Detail'!B103+'F500 Detail'!B103+'F600 Detail'!B103</f>
        <v>0</v>
      </c>
      <c r="C103" s="6">
        <f>'F100 Detail'!C103+'F200 Detail'!C103+'F500 Detail'!C103+'F600 Detail'!C103</f>
        <v>0</v>
      </c>
      <c r="D103" s="6">
        <f>'F100 Detail'!D103+'F200 Detail'!D103+'F500 Detail'!D103+'F600 Detail'!D103</f>
        <v>0</v>
      </c>
      <c r="E103" s="6">
        <f>'F100 Detail'!E103+'F200 Detail'!E103+'F500 Detail'!E103+'F600 Detail'!E103</f>
        <v>0</v>
      </c>
      <c r="F103" s="6">
        <f>'F100 Detail'!F103+'F200 Detail'!F103+'F500 Detail'!F103+'F600 Detail'!F103</f>
        <v>0</v>
      </c>
      <c r="G103" s="9">
        <f t="shared" si="15"/>
        <v>0</v>
      </c>
      <c r="I103" s="9"/>
    </row>
    <row r="104" spans="1:9" s="4" customFormat="1" ht="17.25">
      <c r="A104" s="8" t="s">
        <v>40</v>
      </c>
      <c r="B104" s="19">
        <f>'F100 Detail'!B104+'F200 Detail'!B104+'F500 Detail'!B104+'F600 Detail'!B104</f>
        <v>250356.12</v>
      </c>
      <c r="C104" s="19">
        <f>'F100 Detail'!C104+'F200 Detail'!C104+'F500 Detail'!C104+'F600 Detail'!C104</f>
        <v>18300</v>
      </c>
      <c r="D104" s="19">
        <f>'F100 Detail'!D104+'F200 Detail'!D104+'F500 Detail'!D104+'F600 Detail'!D104</f>
        <v>75856</v>
      </c>
      <c r="E104" s="19">
        <f>'F100 Detail'!E104+'F200 Detail'!E104+'F500 Detail'!E104+'F600 Detail'!E104</f>
        <v>0</v>
      </c>
      <c r="F104" s="19">
        <f>'F100 Detail'!F104+'F200 Detail'!F104+'F500 Detail'!F104+'F600 Detail'!F104</f>
        <v>0</v>
      </c>
      <c r="G104" s="10">
        <f t="shared" si="15"/>
        <v>-75856</v>
      </c>
      <c r="I104" s="9"/>
    </row>
    <row r="105" spans="1:9" s="4" customFormat="1" ht="17.25">
      <c r="A105" s="8" t="s">
        <v>42</v>
      </c>
      <c r="B105" s="19">
        <f>'F100 Detail'!B105+'F200 Detail'!B105+'F500 Detail'!B105+'F600 Detail'!B105</f>
        <v>9351767.4500000011</v>
      </c>
      <c r="C105" s="19">
        <f>SUM(C99:C104)</f>
        <v>9287239.0999999996</v>
      </c>
      <c r="D105" s="19">
        <f>SUM(D99:D104)</f>
        <v>9067128.5300000012</v>
      </c>
      <c r="E105" s="19">
        <f>SUM(E99:E104)</f>
        <v>8286183.9099999992</v>
      </c>
      <c r="F105" s="19">
        <f>SUM(F99:F104)</f>
        <v>11020649.43</v>
      </c>
      <c r="G105" s="37">
        <f>SUM(G99:G104)</f>
        <v>1953520.899999999</v>
      </c>
      <c r="I105" s="9"/>
    </row>
    <row r="106" spans="1:9" s="4" customFormat="1" ht="15">
      <c r="A106" s="7"/>
      <c r="B106" s="6"/>
      <c r="C106" s="6"/>
      <c r="D106" s="6"/>
      <c r="E106" s="6"/>
      <c r="F106" s="6"/>
      <c r="G106" s="9"/>
      <c r="I106" s="9"/>
    </row>
    <row r="107" spans="1:9" s="4" customFormat="1" ht="15">
      <c r="A107" s="7" t="s">
        <v>52</v>
      </c>
      <c r="B107" s="6"/>
      <c r="C107" s="6"/>
      <c r="D107" s="6"/>
      <c r="E107" s="6"/>
      <c r="F107" s="6"/>
      <c r="G107" s="9"/>
      <c r="I107" s="9"/>
    </row>
    <row r="108" spans="1:9" s="4" customFormat="1" ht="15">
      <c r="A108" s="8" t="s">
        <v>35</v>
      </c>
      <c r="B108" s="6">
        <f>'F100 Detail'!B108+'F200 Detail'!B108+'F500 Detail'!B108+'F600 Detail'!B108</f>
        <v>4589457.2000000011</v>
      </c>
      <c r="C108" s="6">
        <f>'F100 Detail'!C108+'F200 Detail'!C108+'F500 Detail'!C108+'F600 Detail'!C108</f>
        <v>5015455.4200000009</v>
      </c>
      <c r="D108" s="6">
        <f>'F100 Detail'!D108+'F200 Detail'!D108+'F500 Detail'!D108+'F600 Detail'!D108</f>
        <v>5308765</v>
      </c>
      <c r="E108" s="6">
        <f>'F100 Detail'!E108+'F200 Detail'!E108+'F500 Detail'!E108+'F600 Detail'!E108</f>
        <v>5147210.1400000006</v>
      </c>
      <c r="F108" s="6">
        <f>'F100 Detail'!F108+'F200 Detail'!F108+'F500 Detail'!F108+'F600 Detail'!F108</f>
        <v>5531614</v>
      </c>
      <c r="G108" s="36">
        <f t="shared" ref="G108:G113" si="16">F108-D108</f>
        <v>222849</v>
      </c>
      <c r="I108" s="9"/>
    </row>
    <row r="109" spans="1:9" s="4" customFormat="1" ht="15">
      <c r="A109" s="8" t="s">
        <v>36</v>
      </c>
      <c r="B109" s="6">
        <f>'F100 Detail'!B109+'F200 Detail'!B109+'F500 Detail'!B109+'F600 Detail'!B109</f>
        <v>503069.4</v>
      </c>
      <c r="C109" s="6">
        <f>'F100 Detail'!C109+'F200 Detail'!C109+'F500 Detail'!C109+'F600 Detail'!C109</f>
        <v>478069.45000000007</v>
      </c>
      <c r="D109" s="6">
        <f>'F100 Detail'!D109+'F200 Detail'!D109+'F500 Detail'!D109+'F600 Detail'!D109</f>
        <v>759611</v>
      </c>
      <c r="E109" s="6">
        <f>'F100 Detail'!E109+'F200 Detail'!E109+'F500 Detail'!E109+'F600 Detail'!E109</f>
        <v>787287.42</v>
      </c>
      <c r="F109" s="6">
        <f>'F100 Detail'!F109+'F200 Detail'!F109+'F500 Detail'!F109+'F600 Detail'!F109</f>
        <v>964043</v>
      </c>
      <c r="G109" s="9">
        <f t="shared" si="16"/>
        <v>204432</v>
      </c>
      <c r="I109" s="9"/>
    </row>
    <row r="110" spans="1:9" s="4" customFormat="1" ht="15">
      <c r="A110" s="8" t="s">
        <v>37</v>
      </c>
      <c r="B110" s="6">
        <f>'F100 Detail'!B110+'F200 Detail'!B110+'F500 Detail'!B110+'F600 Detail'!B110</f>
        <v>195873.06</v>
      </c>
      <c r="C110" s="6">
        <f>'F100 Detail'!C110+'F200 Detail'!C110+'F500 Detail'!C110+'F600 Detail'!C110</f>
        <v>133837.59000000003</v>
      </c>
      <c r="D110" s="6">
        <f>'F100 Detail'!D110+'F200 Detail'!D110+'F500 Detail'!D110+'F600 Detail'!D110</f>
        <v>179882</v>
      </c>
      <c r="E110" s="6">
        <f>'F100 Detail'!E110+'F200 Detail'!E110+'F500 Detail'!E110+'F600 Detail'!E110</f>
        <v>137270</v>
      </c>
      <c r="F110" s="6">
        <f>'F100 Detail'!F110+'F200 Detail'!F110+'F500 Detail'!F110+'F600 Detail'!F110</f>
        <v>148045</v>
      </c>
      <c r="G110" s="9">
        <f t="shared" si="16"/>
        <v>-31837</v>
      </c>
      <c r="I110" s="9"/>
    </row>
    <row r="111" spans="1:9" s="4" customFormat="1" ht="15">
      <c r="A111" s="8" t="s">
        <v>38</v>
      </c>
      <c r="B111" s="6">
        <f>'F100 Detail'!B111+'F200 Detail'!B111+'F500 Detail'!B111+'F600 Detail'!B111</f>
        <v>354701.21</v>
      </c>
      <c r="C111" s="6">
        <f>'F100 Detail'!C111+'F200 Detail'!C111+'F500 Detail'!C111+'F600 Detail'!C111</f>
        <v>373059.16000000009</v>
      </c>
      <c r="D111" s="6">
        <f>'F100 Detail'!D111+'F200 Detail'!D111+'F500 Detail'!D111+'F600 Detail'!D111</f>
        <v>430403</v>
      </c>
      <c r="E111" s="6">
        <f>'F100 Detail'!E111+'F200 Detail'!E111+'F500 Detail'!E111+'F600 Detail'!E111</f>
        <v>353607</v>
      </c>
      <c r="F111" s="6">
        <f>'F100 Detail'!F111+'F200 Detail'!F111+'F500 Detail'!F111+'F600 Detail'!F111</f>
        <v>556787</v>
      </c>
      <c r="G111" s="9">
        <f t="shared" si="16"/>
        <v>126384</v>
      </c>
      <c r="I111" s="9"/>
    </row>
    <row r="112" spans="1:9" s="4" customFormat="1" ht="15">
      <c r="A112" s="8" t="s">
        <v>39</v>
      </c>
      <c r="B112" s="6">
        <f>'F100 Detail'!B112+'F200 Detail'!B112+'F500 Detail'!B112+'F600 Detail'!B112</f>
        <v>0</v>
      </c>
      <c r="C112" s="6">
        <f>'F100 Detail'!C112+'F200 Detail'!C112+'F500 Detail'!C112+'F600 Detail'!C112</f>
        <v>0</v>
      </c>
      <c r="D112" s="6">
        <f>'F100 Detail'!D112+'F200 Detail'!D112+'F500 Detail'!D112+'F600 Detail'!D112</f>
        <v>0</v>
      </c>
      <c r="E112" s="6">
        <f>'F100 Detail'!E112+'F200 Detail'!E112+'F500 Detail'!E112+'F600 Detail'!E112</f>
        <v>0</v>
      </c>
      <c r="F112" s="6">
        <f>'F100 Detail'!F112+'F200 Detail'!F112+'F500 Detail'!F112+'F600 Detail'!F112</f>
        <v>0</v>
      </c>
      <c r="G112" s="9">
        <f t="shared" si="16"/>
        <v>0</v>
      </c>
      <c r="I112" s="9"/>
    </row>
    <row r="113" spans="1:9" s="4" customFormat="1" ht="17.25">
      <c r="A113" s="8" t="s">
        <v>40</v>
      </c>
      <c r="B113" s="19">
        <f>'F100 Detail'!B113+'F200 Detail'!B113+'F500 Detail'!B113+'F600 Detail'!B113</f>
        <v>0</v>
      </c>
      <c r="C113" s="19">
        <f>'F100 Detail'!C113+'F200 Detail'!C113+'F500 Detail'!C113+'F600 Detail'!C113</f>
        <v>0</v>
      </c>
      <c r="D113" s="19">
        <f>'F100 Detail'!D113+'F200 Detail'!D113+'F500 Detail'!D113+'F600 Detail'!D113</f>
        <v>0</v>
      </c>
      <c r="E113" s="19">
        <f>'F100 Detail'!E113+'F200 Detail'!E113+'F500 Detail'!E113+'F600 Detail'!E113</f>
        <v>0</v>
      </c>
      <c r="F113" s="19">
        <f>'F100 Detail'!F113+'F200 Detail'!F113+'F500 Detail'!F113+'F600 Detail'!F113</f>
        <v>0</v>
      </c>
      <c r="G113" s="10">
        <f t="shared" si="16"/>
        <v>0</v>
      </c>
      <c r="I113" s="9"/>
    </row>
    <row r="114" spans="1:9" s="4" customFormat="1" ht="17.25">
      <c r="A114" s="8" t="s">
        <v>42</v>
      </c>
      <c r="B114" s="19">
        <f>'F100 Detail'!B114+'F200 Detail'!B114+'F500 Detail'!B114+'F600 Detail'!B114</f>
        <v>5643100.870000001</v>
      </c>
      <c r="C114" s="19">
        <f>SUM(C108:C113)</f>
        <v>6000421.620000001</v>
      </c>
      <c r="D114" s="19">
        <f>SUM(D108:D113)</f>
        <v>6678661</v>
      </c>
      <c r="E114" s="19">
        <f>SUM(E108:E113)</f>
        <v>6425374.5600000005</v>
      </c>
      <c r="F114" s="19">
        <f>SUM(F108:F113)</f>
        <v>7200489</v>
      </c>
      <c r="G114" s="37">
        <f>SUM(G108:G113)</f>
        <v>521828</v>
      </c>
      <c r="I114" s="9"/>
    </row>
    <row r="115" spans="1:9" s="4" customFormat="1" ht="15">
      <c r="A115" s="7"/>
      <c r="B115" s="6"/>
      <c r="C115" s="6"/>
      <c r="D115" s="6"/>
      <c r="E115" s="6"/>
      <c r="F115" s="6"/>
      <c r="G115" s="9"/>
      <c r="I115" s="9"/>
    </row>
    <row r="116" spans="1:9" s="4" customFormat="1" ht="15">
      <c r="A116" s="7" t="s">
        <v>53</v>
      </c>
      <c r="B116" s="6"/>
      <c r="C116" s="6"/>
      <c r="D116" s="6"/>
      <c r="E116" s="6"/>
      <c r="F116" s="6"/>
      <c r="G116" s="9"/>
      <c r="I116" s="9"/>
    </row>
    <row r="117" spans="1:9" s="4" customFormat="1" ht="15">
      <c r="A117" s="8" t="s">
        <v>35</v>
      </c>
      <c r="B117" s="6">
        <f>'F100 Detail'!B117+'F200 Detail'!B117+'F500 Detail'!B117+'F600 Detail'!B117</f>
        <v>3087496.5000000005</v>
      </c>
      <c r="C117" s="6">
        <f>'F100 Detail'!C117+'F200 Detail'!C117+'F500 Detail'!C117+'F600 Detail'!C117</f>
        <v>3316224.3799999994</v>
      </c>
      <c r="D117" s="6">
        <f>'F100 Detail'!D117+'F200 Detail'!D117+'F500 Detail'!D117+'F600 Detail'!D117</f>
        <v>3754288</v>
      </c>
      <c r="E117" s="6">
        <f>'F100 Detail'!E117+'F200 Detail'!E117+'F500 Detail'!E117+'F600 Detail'!E117</f>
        <v>4244069.34</v>
      </c>
      <c r="F117" s="6">
        <f>'F100 Detail'!F117+'F200 Detail'!F117+'F500 Detail'!F117+'F600 Detail'!F117</f>
        <v>4802337</v>
      </c>
      <c r="G117" s="36">
        <f t="shared" ref="G117:G122" si="17">F117-D117</f>
        <v>1048049</v>
      </c>
      <c r="I117" s="9"/>
    </row>
    <row r="118" spans="1:9" s="4" customFormat="1" ht="15">
      <c r="A118" s="8" t="s">
        <v>36</v>
      </c>
      <c r="B118" s="6">
        <f>'F100 Detail'!B118+'F200 Detail'!B118+'F500 Detail'!B118+'F600 Detail'!B118</f>
        <v>12919424.610000003</v>
      </c>
      <c r="C118" s="6">
        <f>'F100 Detail'!C118+'F200 Detail'!C118+'F500 Detail'!C118+'F600 Detail'!C118</f>
        <v>12939340.769999998</v>
      </c>
      <c r="D118" s="6">
        <f>'F100 Detail'!D118+'F200 Detail'!D118+'F500 Detail'!D118+'F600 Detail'!D118</f>
        <v>14270974</v>
      </c>
      <c r="E118" s="6">
        <f>'F100 Detail'!E118+'F200 Detail'!E118+'F500 Detail'!E118+'F600 Detail'!E118</f>
        <v>16095993.389999995</v>
      </c>
      <c r="F118" s="6">
        <f>'F100 Detail'!F118+'F200 Detail'!F118+'F500 Detail'!F118+'F600 Detail'!F118</f>
        <v>16805166</v>
      </c>
      <c r="G118" s="9">
        <f t="shared" si="17"/>
        <v>2534192</v>
      </c>
      <c r="I118" s="9"/>
    </row>
    <row r="119" spans="1:9" s="4" customFormat="1" ht="15">
      <c r="A119" s="8" t="s">
        <v>37</v>
      </c>
      <c r="B119" s="6">
        <f>'F100 Detail'!B119+'F200 Detail'!B119+'F500 Detail'!B119+'F600 Detail'!B119</f>
        <v>932483.66</v>
      </c>
      <c r="C119" s="6">
        <f>'F100 Detail'!C119+'F200 Detail'!C119+'F500 Detail'!C119+'F600 Detail'!C119</f>
        <v>1117985.6300000001</v>
      </c>
      <c r="D119" s="6">
        <f>'F100 Detail'!D119+'F200 Detail'!D119+'F500 Detail'!D119+'F600 Detail'!D119</f>
        <v>1158663</v>
      </c>
      <c r="E119" s="6">
        <f>'F100 Detail'!E119+'F200 Detail'!E119+'F500 Detail'!E119+'F600 Detail'!E119</f>
        <v>1428536.68</v>
      </c>
      <c r="F119" s="6">
        <f>'F100 Detail'!F119+'F200 Detail'!F119+'F500 Detail'!F119+'F600 Detail'!F119</f>
        <v>1136872</v>
      </c>
      <c r="G119" s="9">
        <f t="shared" si="17"/>
        <v>-21791</v>
      </c>
      <c r="I119" s="9"/>
    </row>
    <row r="120" spans="1:9" s="4" customFormat="1" ht="15">
      <c r="A120" s="8" t="s">
        <v>38</v>
      </c>
      <c r="B120" s="6">
        <f>'F100 Detail'!B120+'F200 Detail'!B120+'F500 Detail'!B120+'F600 Detail'!B120</f>
        <v>465636.73000000004</v>
      </c>
      <c r="C120" s="6">
        <f>'F100 Detail'!C120+'F200 Detail'!C120+'F500 Detail'!C120+'F600 Detail'!C120</f>
        <v>484029.29</v>
      </c>
      <c r="D120" s="6">
        <f>'F100 Detail'!D120+'F200 Detail'!D120+'F500 Detail'!D120+'F600 Detail'!D120</f>
        <v>553697</v>
      </c>
      <c r="E120" s="6">
        <f>'F100 Detail'!E120+'F200 Detail'!E120+'F500 Detail'!E120+'F600 Detail'!E120</f>
        <v>826216.5</v>
      </c>
      <c r="F120" s="6">
        <f>'F100 Detail'!F120+'F200 Detail'!F120+'F500 Detail'!F120+'F600 Detail'!F120</f>
        <v>1134217</v>
      </c>
      <c r="G120" s="9">
        <f t="shared" si="17"/>
        <v>580520</v>
      </c>
      <c r="I120" s="9"/>
    </row>
    <row r="121" spans="1:9" s="4" customFormat="1" ht="15">
      <c r="A121" s="8" t="s">
        <v>39</v>
      </c>
      <c r="B121" s="6">
        <f>'F100 Detail'!B121+'F200 Detail'!B121+'F500 Detail'!B121+'F600 Detail'!B121</f>
        <v>0</v>
      </c>
      <c r="C121" s="6">
        <f>'F100 Detail'!C121+'F200 Detail'!C121+'F500 Detail'!C121+'F600 Detail'!C121</f>
        <v>0</v>
      </c>
      <c r="D121" s="6">
        <f>'F100 Detail'!D121+'F200 Detail'!D121+'F500 Detail'!D121+'F600 Detail'!D121</f>
        <v>0</v>
      </c>
      <c r="E121" s="6">
        <f>'F100 Detail'!E121+'F200 Detail'!E121+'F500 Detail'!E121+'F600 Detail'!E121</f>
        <v>0</v>
      </c>
      <c r="F121" s="6">
        <f>'F100 Detail'!F121+'F200 Detail'!F121+'F500 Detail'!F121+'F600 Detail'!F121</f>
        <v>0</v>
      </c>
      <c r="G121" s="9">
        <f t="shared" si="17"/>
        <v>0</v>
      </c>
      <c r="I121" s="9"/>
    </row>
    <row r="122" spans="1:9" s="4" customFormat="1" ht="17.25">
      <c r="A122" s="8" t="s">
        <v>40</v>
      </c>
      <c r="B122" s="19">
        <f>'F100 Detail'!B122+'F200 Detail'!B122+'F500 Detail'!B122+'F600 Detail'!B122</f>
        <v>348192.54000000004</v>
      </c>
      <c r="C122" s="19">
        <f>'F100 Detail'!C122+'F200 Detail'!C122+'F500 Detail'!C122+'F600 Detail'!C122</f>
        <v>130298.34</v>
      </c>
      <c r="D122" s="19">
        <f>'F100 Detail'!D122+'F200 Detail'!D122+'F500 Detail'!D122+'F600 Detail'!D122</f>
        <v>403364</v>
      </c>
      <c r="E122" s="19">
        <f>'F100 Detail'!E122+'F200 Detail'!E122+'F500 Detail'!E122+'F600 Detail'!E122</f>
        <v>432879</v>
      </c>
      <c r="F122" s="19">
        <f>'F100 Detail'!F122+'F200 Detail'!F122+'F500 Detail'!F122+'F600 Detail'!F122</f>
        <v>550379</v>
      </c>
      <c r="G122" s="10">
        <f t="shared" si="17"/>
        <v>147015</v>
      </c>
      <c r="I122" s="9"/>
    </row>
    <row r="123" spans="1:9" s="4" customFormat="1" ht="17.25">
      <c r="A123" s="8" t="s">
        <v>42</v>
      </c>
      <c r="B123" s="19">
        <f>'F100 Detail'!B123+'F200 Detail'!B123+'F500 Detail'!B123+'F600 Detail'!B123</f>
        <v>17753234.040000003</v>
      </c>
      <c r="C123" s="19">
        <f>SUM(C117:C122)</f>
        <v>17987878.409999996</v>
      </c>
      <c r="D123" s="19">
        <f>SUM(D117:D122)</f>
        <v>20140986</v>
      </c>
      <c r="E123" s="19">
        <f>SUM(E117:E122)</f>
        <v>23027694.909999996</v>
      </c>
      <c r="F123" s="19">
        <f>SUM(F117:F122)</f>
        <v>24428971</v>
      </c>
      <c r="G123" s="37">
        <f>SUM(G117:G122)</f>
        <v>4287985</v>
      </c>
      <c r="I123" s="9"/>
    </row>
    <row r="124" spans="1:9" s="4" customFormat="1" ht="15">
      <c r="A124" s="7"/>
      <c r="B124" s="54"/>
      <c r="C124" s="54"/>
      <c r="D124" s="54"/>
      <c r="E124" s="54"/>
      <c r="F124" s="54"/>
      <c r="G124" s="38"/>
      <c r="I124" s="9"/>
    </row>
    <row r="125" spans="1:9" s="4" customFormat="1" ht="15">
      <c r="A125" s="7" t="s">
        <v>55</v>
      </c>
      <c r="B125" s="6"/>
      <c r="C125" s="6"/>
      <c r="D125" s="6"/>
      <c r="E125" s="6"/>
      <c r="F125" s="6"/>
      <c r="G125" s="9"/>
      <c r="I125" s="9"/>
    </row>
    <row r="126" spans="1:9" s="4" customFormat="1" ht="15">
      <c r="A126" s="8" t="s">
        <v>35</v>
      </c>
      <c r="B126" s="6">
        <f>'F100 Detail'!B126+'F200 Detail'!B126+'F500 Detail'!B126+'F600 Detail'!B126</f>
        <v>372023.16000000003</v>
      </c>
      <c r="C126" s="6">
        <f>'F100 Detail'!C126+'F200 Detail'!C126+'F500 Detail'!C126+'F600 Detail'!C126</f>
        <v>254664.02000000002</v>
      </c>
      <c r="D126" s="6">
        <f>'F100 Detail'!D126+'F200 Detail'!D126+'F500 Detail'!D126+'F600 Detail'!D126</f>
        <v>293775</v>
      </c>
      <c r="E126" s="6">
        <f>'F100 Detail'!E126+'F200 Detail'!E126+'F500 Detail'!E126+'F600 Detail'!E126</f>
        <v>423831.67</v>
      </c>
      <c r="F126" s="6">
        <f>'F100 Detail'!F126+'F200 Detail'!F126+'F500 Detail'!F126+'F600 Detail'!F126</f>
        <v>421602</v>
      </c>
      <c r="G126" s="36">
        <f t="shared" ref="G126:G131" si="18">F126-D126</f>
        <v>127827</v>
      </c>
      <c r="I126" s="9"/>
    </row>
    <row r="127" spans="1:9" s="4" customFormat="1" ht="15">
      <c r="A127" s="8" t="s">
        <v>36</v>
      </c>
      <c r="B127" s="6">
        <f>'F100 Detail'!B127+'F200 Detail'!B127+'F500 Detail'!B127+'F600 Detail'!B127</f>
        <v>874618.23</v>
      </c>
      <c r="C127" s="6">
        <f>'F100 Detail'!C127+'F200 Detail'!C127+'F500 Detail'!C127+'F600 Detail'!C127</f>
        <v>875463.42999999993</v>
      </c>
      <c r="D127" s="6">
        <f>'F100 Detail'!D127+'F200 Detail'!D127+'F500 Detail'!D127+'F600 Detail'!D127</f>
        <v>1259987</v>
      </c>
      <c r="E127" s="6">
        <f>'F100 Detail'!E127+'F200 Detail'!E127+'F500 Detail'!E127+'F600 Detail'!E127</f>
        <v>1538172.1</v>
      </c>
      <c r="F127" s="6">
        <f>'F100 Detail'!F127+'F200 Detail'!F127+'F500 Detail'!F127+'F600 Detail'!F127</f>
        <v>1488553</v>
      </c>
      <c r="G127" s="9">
        <f t="shared" si="18"/>
        <v>228566</v>
      </c>
      <c r="I127" s="9"/>
    </row>
    <row r="128" spans="1:9" s="4" customFormat="1" ht="15">
      <c r="A128" s="8" t="s">
        <v>37</v>
      </c>
      <c r="B128" s="6">
        <f>'F100 Detail'!B128+'F200 Detail'!B128+'F500 Detail'!B128+'F600 Detail'!B128</f>
        <v>252632.61</v>
      </c>
      <c r="C128" s="6">
        <f>'F100 Detail'!C128+'F200 Detail'!C128+'F500 Detail'!C128+'F600 Detail'!C128</f>
        <v>171069.8</v>
      </c>
      <c r="D128" s="6">
        <f>'F100 Detail'!D128+'F200 Detail'!D128+'F500 Detail'!D128+'F600 Detail'!D128</f>
        <v>279223.2</v>
      </c>
      <c r="E128" s="6">
        <f>'F100 Detail'!E128+'F200 Detail'!E128+'F500 Detail'!E128+'F600 Detail'!E128</f>
        <v>147859.24</v>
      </c>
      <c r="F128" s="6">
        <f>'F100 Detail'!F128+'F200 Detail'!F128+'F500 Detail'!F128+'F600 Detail'!F128</f>
        <v>376292.66000000003</v>
      </c>
      <c r="G128" s="9">
        <f t="shared" si="18"/>
        <v>97069.460000000021</v>
      </c>
      <c r="I128" s="9"/>
    </row>
    <row r="129" spans="1:9" s="4" customFormat="1" ht="15">
      <c r="A129" s="8" t="s">
        <v>38</v>
      </c>
      <c r="B129" s="6">
        <f>'F100 Detail'!B129+'F200 Detail'!B129+'F500 Detail'!B129+'F600 Detail'!B129</f>
        <v>6767.1</v>
      </c>
      <c r="C129" s="6">
        <f>'F100 Detail'!C129+'F200 Detail'!C129+'F500 Detail'!C129+'F600 Detail'!C129</f>
        <v>3610.9100000000003</v>
      </c>
      <c r="D129" s="6">
        <f>'F100 Detail'!D129+'F200 Detail'!D129+'F500 Detail'!D129+'F600 Detail'!D129</f>
        <v>3844</v>
      </c>
      <c r="E129" s="6">
        <f>'F100 Detail'!E129+'F200 Detail'!E129+'F500 Detail'!E129+'F600 Detail'!E129</f>
        <v>14399</v>
      </c>
      <c r="F129" s="6">
        <f>'F100 Detail'!F129+'F200 Detail'!F129+'F500 Detail'!F129+'F600 Detail'!F129</f>
        <v>12647</v>
      </c>
      <c r="G129" s="9">
        <f t="shared" si="18"/>
        <v>8803</v>
      </c>
      <c r="I129" s="9"/>
    </row>
    <row r="130" spans="1:9" s="4" customFormat="1" ht="15">
      <c r="A130" s="8" t="s">
        <v>39</v>
      </c>
      <c r="B130" s="6">
        <f>'F100 Detail'!B130+'F200 Detail'!B130+'F500 Detail'!B130+'F600 Detail'!B130</f>
        <v>0</v>
      </c>
      <c r="C130" s="6">
        <f>'F100 Detail'!C130+'F200 Detail'!C130+'F500 Detail'!C130+'F600 Detail'!C130</f>
        <v>0</v>
      </c>
      <c r="D130" s="6">
        <f>'F100 Detail'!D130+'F200 Detail'!D130+'F500 Detail'!D130+'F600 Detail'!D130</f>
        <v>0</v>
      </c>
      <c r="E130" s="6">
        <f>'F100 Detail'!E130+'F200 Detail'!E130+'F500 Detail'!E130+'F600 Detail'!E130</f>
        <v>0</v>
      </c>
      <c r="F130" s="6">
        <f>'F100 Detail'!F130+'F200 Detail'!F130+'F500 Detail'!F130+'F600 Detail'!F130</f>
        <v>0</v>
      </c>
      <c r="G130" s="9">
        <f t="shared" si="18"/>
        <v>0</v>
      </c>
      <c r="I130" s="9"/>
    </row>
    <row r="131" spans="1:9" s="4" customFormat="1" ht="17.25">
      <c r="A131" s="8" t="s">
        <v>40</v>
      </c>
      <c r="B131" s="19">
        <f>'F100 Detail'!B131+'F200 Detail'!B131+'F500 Detail'!B131+'F600 Detail'!B131</f>
        <v>237288.76</v>
      </c>
      <c r="C131" s="19">
        <f>'F100 Detail'!C131+'F200 Detail'!C131+'F500 Detail'!C131+'F600 Detail'!C131</f>
        <v>328685.09999999998</v>
      </c>
      <c r="D131" s="19">
        <f>'F100 Detail'!D131+'F200 Detail'!D131+'F500 Detail'!D131+'F600 Detail'!D131</f>
        <v>208765</v>
      </c>
      <c r="E131" s="19">
        <f>'F100 Detail'!E131+'F200 Detail'!E131+'F500 Detail'!E131+'F600 Detail'!E131</f>
        <v>10100</v>
      </c>
      <c r="F131" s="19">
        <f>'F100 Detail'!F131+'F200 Detail'!F131+'F500 Detail'!F131+'F600 Detail'!F131</f>
        <v>119402.75</v>
      </c>
      <c r="G131" s="10">
        <f t="shared" si="18"/>
        <v>-89362.25</v>
      </c>
      <c r="I131" s="9"/>
    </row>
    <row r="132" spans="1:9" s="4" customFormat="1" ht="17.25">
      <c r="A132" s="8" t="s">
        <v>42</v>
      </c>
      <c r="B132" s="19">
        <f>'F100 Detail'!B132+'F200 Detail'!B132+'F500 Detail'!B132+'F600 Detail'!B132</f>
        <v>1743329.8600000003</v>
      </c>
      <c r="C132" s="19">
        <f>SUM(C126:C131)</f>
        <v>1633493.2599999998</v>
      </c>
      <c r="D132" s="19">
        <f>SUM(D126:D131)</f>
        <v>2045594.2</v>
      </c>
      <c r="E132" s="19">
        <f>SUM(E126:E131)</f>
        <v>2134362.0099999998</v>
      </c>
      <c r="F132" s="19">
        <f>SUM(F126:F131)</f>
        <v>2418497.41</v>
      </c>
      <c r="G132" s="37">
        <f>SUM(G126:G131)</f>
        <v>372903.21</v>
      </c>
      <c r="I132" s="9"/>
    </row>
    <row r="133" spans="1:9" s="4" customFormat="1" ht="15">
      <c r="A133" s="7"/>
      <c r="B133" s="6"/>
      <c r="C133" s="6"/>
      <c r="D133" s="6"/>
      <c r="E133" s="6"/>
      <c r="F133" s="6"/>
      <c r="G133" s="9"/>
      <c r="I133" s="9"/>
    </row>
    <row r="134" spans="1:9" s="4" customFormat="1" ht="15">
      <c r="A134" s="7" t="s">
        <v>56</v>
      </c>
      <c r="B134" s="6"/>
      <c r="C134" s="6"/>
      <c r="D134" s="6"/>
      <c r="E134" s="6"/>
      <c r="F134" s="6"/>
      <c r="G134" s="9"/>
      <c r="I134" s="9"/>
    </row>
    <row r="135" spans="1:9" s="4" customFormat="1" ht="15">
      <c r="A135" s="8" t="s">
        <v>35</v>
      </c>
      <c r="B135" s="6">
        <f>'F100 Detail'!B135+'F200 Detail'!B135+'F500 Detail'!B135+'F600 Detail'!B135</f>
        <v>3676605.310000001</v>
      </c>
      <c r="C135" s="6">
        <f>'F100 Detail'!C135+'F200 Detail'!C135+'F500 Detail'!C135+'F600 Detail'!C135</f>
        <v>3923959.4600000018</v>
      </c>
      <c r="D135" s="6">
        <f>'F100 Detail'!D135+'F200 Detail'!D135+'F500 Detail'!D135+'F600 Detail'!D135</f>
        <v>4171643</v>
      </c>
      <c r="E135" s="6">
        <f>'F100 Detail'!E135+'F200 Detail'!E135+'F500 Detail'!E135+'F600 Detail'!E135</f>
        <v>4811271.51</v>
      </c>
      <c r="F135" s="6">
        <f>'F100 Detail'!F135+'F200 Detail'!F135+'F500 Detail'!F135+'F600 Detail'!F135</f>
        <v>4357280</v>
      </c>
      <c r="G135" s="36">
        <f t="shared" ref="G135:G140" si="19">F135-D135</f>
        <v>185637</v>
      </c>
      <c r="I135" s="9"/>
    </row>
    <row r="136" spans="1:9" s="4" customFormat="1" ht="15">
      <c r="A136" s="8" t="s">
        <v>36</v>
      </c>
      <c r="B136" s="6">
        <f>'F100 Detail'!B136+'F200 Detail'!B136+'F500 Detail'!B136+'F600 Detail'!B136</f>
        <v>1196584.18</v>
      </c>
      <c r="C136" s="6">
        <f>'F100 Detail'!C136+'F200 Detail'!C136+'F500 Detail'!C136+'F600 Detail'!C136</f>
        <v>1003715.15</v>
      </c>
      <c r="D136" s="6">
        <f>'F100 Detail'!D136+'F200 Detail'!D136+'F500 Detail'!D136+'F600 Detail'!D136</f>
        <v>1108997</v>
      </c>
      <c r="E136" s="6">
        <f>'F100 Detail'!E136+'F200 Detail'!E136+'F500 Detail'!E136+'F600 Detail'!E136</f>
        <v>1536695.4</v>
      </c>
      <c r="F136" s="6">
        <f>'F100 Detail'!F136+'F200 Detail'!F136+'F500 Detail'!F136+'F600 Detail'!F136</f>
        <v>1572200</v>
      </c>
      <c r="G136" s="9">
        <f t="shared" si="19"/>
        <v>463203</v>
      </c>
      <c r="I136" s="9"/>
    </row>
    <row r="137" spans="1:9" s="4" customFormat="1" ht="15">
      <c r="A137" s="8" t="s">
        <v>37</v>
      </c>
      <c r="B137" s="6">
        <f>'F100 Detail'!B137+'F200 Detail'!B137+'F500 Detail'!B137+'F600 Detail'!B137</f>
        <v>244401.13</v>
      </c>
      <c r="C137" s="6">
        <f>'F100 Detail'!C137+'F200 Detail'!C137+'F500 Detail'!C137+'F600 Detail'!C137</f>
        <v>215829.78</v>
      </c>
      <c r="D137" s="6">
        <f>'F100 Detail'!D137+'F200 Detail'!D137+'F500 Detail'!D137+'F600 Detail'!D137</f>
        <v>748152</v>
      </c>
      <c r="E137" s="6">
        <f>'F100 Detail'!E137+'F200 Detail'!E137+'F500 Detail'!E137+'F600 Detail'!E137</f>
        <v>118411.75</v>
      </c>
      <c r="F137" s="6">
        <f>'F100 Detail'!F137+'F200 Detail'!F137+'F500 Detail'!F137+'F600 Detail'!F137</f>
        <v>309062</v>
      </c>
      <c r="G137" s="9">
        <f t="shared" si="19"/>
        <v>-439090</v>
      </c>
      <c r="I137" s="9"/>
    </row>
    <row r="138" spans="1:9" s="4" customFormat="1" ht="15">
      <c r="A138" s="8" t="s">
        <v>38</v>
      </c>
      <c r="B138" s="6">
        <f>'F100 Detail'!B138+'F200 Detail'!B138+'F500 Detail'!B138+'F600 Detail'!B138</f>
        <v>51294.850000000006</v>
      </c>
      <c r="C138" s="6">
        <f>'F100 Detail'!C138+'F200 Detail'!C138+'F500 Detail'!C138+'F600 Detail'!C138</f>
        <v>36431.47</v>
      </c>
      <c r="D138" s="6">
        <f>'F100 Detail'!D138+'F200 Detail'!D138+'F500 Detail'!D138+'F600 Detail'!D138</f>
        <v>65907</v>
      </c>
      <c r="E138" s="6">
        <f>'F100 Detail'!E138+'F200 Detail'!E138+'F500 Detail'!E138+'F600 Detail'!E138</f>
        <v>68795</v>
      </c>
      <c r="F138" s="6">
        <f>'F100 Detail'!F138+'F200 Detail'!F138+'F500 Detail'!F138+'F600 Detail'!F138</f>
        <v>78125</v>
      </c>
      <c r="G138" s="9">
        <f t="shared" si="19"/>
        <v>12218</v>
      </c>
      <c r="I138" s="9"/>
    </row>
    <row r="139" spans="1:9" s="4" customFormat="1" ht="15">
      <c r="A139" s="8" t="s">
        <v>39</v>
      </c>
      <c r="B139" s="6">
        <f>'F100 Detail'!B139+'F200 Detail'!B139+'F500 Detail'!B139+'F600 Detail'!B139</f>
        <v>0</v>
      </c>
      <c r="C139" s="6">
        <f>'F100 Detail'!C139+'F200 Detail'!C139+'F500 Detail'!C139+'F600 Detail'!C139</f>
        <v>0</v>
      </c>
      <c r="D139" s="6">
        <f>'F100 Detail'!D139+'F200 Detail'!D139+'F500 Detail'!D139+'F600 Detail'!D139</f>
        <v>0</v>
      </c>
      <c r="E139" s="6">
        <f>'F100 Detail'!E139+'F200 Detail'!E139+'F500 Detail'!E139+'F600 Detail'!E139</f>
        <v>0</v>
      </c>
      <c r="F139" s="6">
        <f>'F100 Detail'!F139+'F200 Detail'!F139+'F500 Detail'!F139+'F600 Detail'!F139</f>
        <v>0</v>
      </c>
      <c r="G139" s="9">
        <f t="shared" si="19"/>
        <v>0</v>
      </c>
      <c r="I139" s="9"/>
    </row>
    <row r="140" spans="1:9" s="4" customFormat="1" ht="17.25">
      <c r="A140" s="8" t="s">
        <v>40</v>
      </c>
      <c r="B140" s="19">
        <f>'F100 Detail'!B140+'F200 Detail'!B140+'F500 Detail'!B140+'F600 Detail'!B140</f>
        <v>0</v>
      </c>
      <c r="C140" s="19">
        <f>'F100 Detail'!C140+'F200 Detail'!C140+'F500 Detail'!C140+'F600 Detail'!C140</f>
        <v>68172.75</v>
      </c>
      <c r="D140" s="19">
        <f>'F100 Detail'!D140+'F200 Detail'!D140+'F500 Detail'!D140+'F600 Detail'!D140</f>
        <v>0</v>
      </c>
      <c r="E140" s="19">
        <f>'F100 Detail'!E140+'F200 Detail'!E140+'F500 Detail'!E140+'F600 Detail'!E140</f>
        <v>0</v>
      </c>
      <c r="F140" s="19">
        <f>'F100 Detail'!F140+'F200 Detail'!F140+'F500 Detail'!F140+'F600 Detail'!F140</f>
        <v>0</v>
      </c>
      <c r="G140" s="10">
        <f t="shared" si="19"/>
        <v>0</v>
      </c>
      <c r="I140" s="9"/>
    </row>
    <row r="141" spans="1:9" s="4" customFormat="1" ht="17.25">
      <c r="A141" s="8" t="s">
        <v>42</v>
      </c>
      <c r="B141" s="19">
        <f>'F100 Detail'!B141+'F200 Detail'!B141+'F500 Detail'!B141+'F600 Detail'!B141</f>
        <v>5168885.4700000007</v>
      </c>
      <c r="C141" s="19">
        <f>SUM(C135:C140)</f>
        <v>5248108.6100000022</v>
      </c>
      <c r="D141" s="19">
        <f>SUM(D135:D140)</f>
        <v>6094699</v>
      </c>
      <c r="E141" s="19">
        <f>SUM(E135:E140)</f>
        <v>6535173.6600000001</v>
      </c>
      <c r="F141" s="19">
        <f>SUM(F135:F140)</f>
        <v>6316667</v>
      </c>
      <c r="G141" s="37">
        <f>SUM(G135:G140)</f>
        <v>221968</v>
      </c>
      <c r="I141" s="9"/>
    </row>
    <row r="142" spans="1:9" s="4" customFormat="1" ht="17.25">
      <c r="A142" s="8"/>
      <c r="B142" s="19"/>
      <c r="C142" s="19"/>
      <c r="D142" s="19"/>
      <c r="E142" s="19"/>
      <c r="F142" s="19"/>
      <c r="G142" s="37"/>
      <c r="I142" s="9"/>
    </row>
    <row r="143" spans="1:9" s="4" customFormat="1" ht="15">
      <c r="A143" s="7" t="s">
        <v>57</v>
      </c>
      <c r="B143" s="6"/>
      <c r="C143" s="6"/>
      <c r="D143" s="6"/>
      <c r="E143" s="6"/>
      <c r="F143" s="6"/>
      <c r="G143" s="9"/>
      <c r="I143" s="9"/>
    </row>
    <row r="144" spans="1:9" s="4" customFormat="1" ht="15">
      <c r="A144" s="8" t="s">
        <v>35</v>
      </c>
      <c r="B144" s="6">
        <f>'F100 Detail'!B144+'F200 Detail'!B144+'F500 Detail'!B144+'F600 Detail'!B144</f>
        <v>135608.33000000002</v>
      </c>
      <c r="C144" s="6">
        <f>'F100 Detail'!C144+'F200 Detail'!C144+'F500 Detail'!C144+'F600 Detail'!C144</f>
        <v>124699.97</v>
      </c>
      <c r="D144" s="6">
        <f>'F100 Detail'!D144+'F200 Detail'!D144+'F500 Detail'!D144+'F600 Detail'!D144</f>
        <v>160354</v>
      </c>
      <c r="E144" s="6">
        <f>'F100 Detail'!E144+'F200 Detail'!E144+'F500 Detail'!E144+'F600 Detail'!E144</f>
        <v>163061.56000000003</v>
      </c>
      <c r="F144" s="6">
        <f>'F100 Detail'!F144+'F200 Detail'!F144+'F500 Detail'!F144+'F600 Detail'!F144</f>
        <v>194143</v>
      </c>
      <c r="G144" s="36">
        <f t="shared" ref="G144:G149" si="20">F144-D144</f>
        <v>33789</v>
      </c>
      <c r="I144" s="9"/>
    </row>
    <row r="145" spans="1:9" s="4" customFormat="1" ht="15">
      <c r="A145" s="8" t="s">
        <v>36</v>
      </c>
      <c r="B145" s="6">
        <f>'F100 Detail'!B145+'F200 Detail'!B145+'F500 Detail'!B145+'F600 Detail'!B145</f>
        <v>1497</v>
      </c>
      <c r="C145" s="6">
        <f>'F100 Detail'!C145+'F200 Detail'!C145+'F500 Detail'!C145+'F600 Detail'!C145</f>
        <v>1256</v>
      </c>
      <c r="D145" s="6">
        <f>'F100 Detail'!D145+'F200 Detail'!D145+'F500 Detail'!D145+'F600 Detail'!D145</f>
        <v>17150</v>
      </c>
      <c r="E145" s="6">
        <f>'F100 Detail'!E145+'F200 Detail'!E145+'F500 Detail'!E145+'F600 Detail'!E145</f>
        <v>20976</v>
      </c>
      <c r="F145" s="6">
        <f>'F100 Detail'!F145+'F200 Detail'!F145+'F500 Detail'!F145+'F600 Detail'!F145</f>
        <v>34167</v>
      </c>
      <c r="G145" s="9">
        <f t="shared" si="20"/>
        <v>17017</v>
      </c>
      <c r="I145" s="9"/>
    </row>
    <row r="146" spans="1:9" s="4" customFormat="1" ht="15">
      <c r="A146" s="8" t="s">
        <v>37</v>
      </c>
      <c r="B146" s="6">
        <f>'F100 Detail'!B146+'F200 Detail'!B146+'F500 Detail'!B146+'F600 Detail'!B146</f>
        <v>17697.97</v>
      </c>
      <c r="C146" s="6">
        <f>'F100 Detail'!C146+'F200 Detail'!C146+'F500 Detail'!C146+'F600 Detail'!C146</f>
        <v>2527.04</v>
      </c>
      <c r="D146" s="6">
        <f>'F100 Detail'!D146+'F200 Detail'!D146+'F500 Detail'!D146+'F600 Detail'!D146</f>
        <v>15636</v>
      </c>
      <c r="E146" s="6">
        <f>'F100 Detail'!E146+'F200 Detail'!E146+'F500 Detail'!E146+'F600 Detail'!E146</f>
        <v>15050</v>
      </c>
      <c r="F146" s="6">
        <f>'F100 Detail'!F146+'F200 Detail'!F146+'F500 Detail'!F146+'F600 Detail'!F146</f>
        <v>7768</v>
      </c>
      <c r="G146" s="9">
        <f t="shared" si="20"/>
        <v>-7868</v>
      </c>
      <c r="I146" s="9"/>
    </row>
    <row r="147" spans="1:9" s="4" customFormat="1" ht="15">
      <c r="A147" s="8" t="s">
        <v>38</v>
      </c>
      <c r="B147" s="6">
        <f>'F100 Detail'!B147+'F200 Detail'!B147+'F500 Detail'!B147+'F600 Detail'!B147</f>
        <v>13976.06</v>
      </c>
      <c r="C147" s="6">
        <f>'F100 Detail'!C147+'F200 Detail'!C147+'F500 Detail'!C147+'F600 Detail'!C147</f>
        <v>12455.65</v>
      </c>
      <c r="D147" s="6">
        <f>'F100 Detail'!D147+'F200 Detail'!D147+'F500 Detail'!D147+'F600 Detail'!D147</f>
        <v>19434</v>
      </c>
      <c r="E147" s="6">
        <f>'F100 Detail'!E147+'F200 Detail'!E147+'F500 Detail'!E147+'F600 Detail'!E147</f>
        <v>27316</v>
      </c>
      <c r="F147" s="6">
        <f>'F100 Detail'!F147+'F200 Detail'!F147+'F500 Detail'!F147+'F600 Detail'!F147</f>
        <v>24772</v>
      </c>
      <c r="G147" s="9">
        <f t="shared" si="20"/>
        <v>5338</v>
      </c>
      <c r="I147" s="9"/>
    </row>
    <row r="148" spans="1:9" s="4" customFormat="1" ht="15">
      <c r="A148" s="8" t="s">
        <v>39</v>
      </c>
      <c r="B148" s="6">
        <f>'F100 Detail'!B148+'F200 Detail'!B148+'F500 Detail'!B148+'F600 Detail'!B148</f>
        <v>0</v>
      </c>
      <c r="C148" s="6">
        <f>'F100 Detail'!C148+'F200 Detail'!C148+'F500 Detail'!C148+'F600 Detail'!C148</f>
        <v>0</v>
      </c>
      <c r="D148" s="6">
        <f>'F100 Detail'!D148+'F200 Detail'!D148+'F500 Detail'!D148+'F600 Detail'!D148</f>
        <v>0</v>
      </c>
      <c r="E148" s="6">
        <f>'F100 Detail'!E148+'F200 Detail'!E148+'F500 Detail'!E148+'F600 Detail'!E148</f>
        <v>0</v>
      </c>
      <c r="F148" s="6">
        <f>'F100 Detail'!F148+'F200 Detail'!F148+'F500 Detail'!F148+'F600 Detail'!F148</f>
        <v>0</v>
      </c>
      <c r="G148" s="9">
        <f t="shared" si="20"/>
        <v>0</v>
      </c>
      <c r="I148" s="9"/>
    </row>
    <row r="149" spans="1:9" s="4" customFormat="1" ht="17.25">
      <c r="A149" s="8" t="s">
        <v>40</v>
      </c>
      <c r="B149" s="19">
        <f>'F100 Detail'!B149+'F200 Detail'!B149+'F500 Detail'!B149+'F600 Detail'!B149</f>
        <v>0</v>
      </c>
      <c r="C149" s="19">
        <f>'F100 Detail'!C149+'F200 Detail'!C149+'F500 Detail'!C149+'F600 Detail'!C149</f>
        <v>0</v>
      </c>
      <c r="D149" s="19">
        <f>'F100 Detail'!D149+'F200 Detail'!D149+'F500 Detail'!D149+'F600 Detail'!D149</f>
        <v>0</v>
      </c>
      <c r="E149" s="19">
        <f>'F100 Detail'!E149+'F200 Detail'!E149+'F500 Detail'!E149+'F600 Detail'!E149</f>
        <v>0</v>
      </c>
      <c r="F149" s="19">
        <f>'F100 Detail'!F149+'F200 Detail'!F149+'F500 Detail'!F149+'F600 Detail'!F149</f>
        <v>0</v>
      </c>
      <c r="G149" s="10">
        <f t="shared" si="20"/>
        <v>0</v>
      </c>
      <c r="I149" s="9"/>
    </row>
    <row r="150" spans="1:9" s="4" customFormat="1" ht="17.25">
      <c r="A150" s="8" t="s">
        <v>42</v>
      </c>
      <c r="B150" s="19">
        <f>'F100 Detail'!B150+'F200 Detail'!B150+'F500 Detail'!B150+'F600 Detail'!B150</f>
        <v>168779.36000000002</v>
      </c>
      <c r="C150" s="19">
        <f>SUM(C144:C149)</f>
        <v>140938.66</v>
      </c>
      <c r="D150" s="19">
        <f>SUM(D144:D149)</f>
        <v>212574</v>
      </c>
      <c r="E150" s="19">
        <f>SUM(E144:E149)</f>
        <v>226403.56000000003</v>
      </c>
      <c r="F150" s="19">
        <f>SUM(F144:F149)</f>
        <v>260850</v>
      </c>
      <c r="G150" s="37">
        <f>SUM(G144:G149)</f>
        <v>48276</v>
      </c>
      <c r="I150" s="9"/>
    </row>
    <row r="151" spans="1:9" s="4" customFormat="1" ht="15">
      <c r="A151" s="7"/>
      <c r="B151" s="6"/>
      <c r="C151" s="6"/>
      <c r="D151" s="6"/>
      <c r="E151" s="6"/>
      <c r="F151" s="6"/>
      <c r="G151" s="9"/>
      <c r="I151" s="9"/>
    </row>
    <row r="152" spans="1:9" s="4" customFormat="1" ht="15">
      <c r="A152" s="7" t="s">
        <v>59</v>
      </c>
      <c r="B152" s="6"/>
      <c r="C152" s="6"/>
      <c r="D152" s="6"/>
      <c r="E152" s="6"/>
      <c r="F152" s="6"/>
      <c r="G152" s="9"/>
      <c r="I152" s="9"/>
    </row>
    <row r="153" spans="1:9" s="4" customFormat="1" ht="15">
      <c r="A153" s="8" t="s">
        <v>35</v>
      </c>
      <c r="B153" s="6">
        <f>'F100 Detail'!B153+'F200 Detail'!B153+'F500 Detail'!B153+'F600 Detail'!B153</f>
        <v>0</v>
      </c>
      <c r="C153" s="6">
        <f>'F100 Detail'!C153+'F200 Detail'!C153+'F500 Detail'!C153+'F600 Detail'!C153</f>
        <v>0</v>
      </c>
      <c r="D153" s="6">
        <f>'F100 Detail'!D153+'F200 Detail'!D153+'F500 Detail'!D153+'F600 Detail'!D153</f>
        <v>0</v>
      </c>
      <c r="E153" s="6">
        <f>'F100 Detail'!E153+'F200 Detail'!E153+'F500 Detail'!E153+'F600 Detail'!E153</f>
        <v>0</v>
      </c>
      <c r="F153" s="6">
        <f>'F100 Detail'!F153+'F200 Detail'!F153+'F500 Detail'!F153+'F600 Detail'!F153</f>
        <v>0</v>
      </c>
      <c r="G153" s="36">
        <f t="shared" ref="G153:G158" si="21">F153-D153</f>
        <v>0</v>
      </c>
      <c r="I153" s="9"/>
    </row>
    <row r="154" spans="1:9" s="4" customFormat="1" ht="15">
      <c r="A154" s="8" t="s">
        <v>36</v>
      </c>
      <c r="B154" s="6">
        <f>'F100 Detail'!B154+'F200 Detail'!B154+'F500 Detail'!B154+'F600 Detail'!B154</f>
        <v>0</v>
      </c>
      <c r="C154" s="6">
        <f>'F100 Detail'!C154+'F200 Detail'!C154+'F500 Detail'!C154+'F600 Detail'!C154</f>
        <v>0</v>
      </c>
      <c r="D154" s="6">
        <f>'F100 Detail'!D154+'F200 Detail'!D154+'F500 Detail'!D154+'F600 Detail'!D154</f>
        <v>0</v>
      </c>
      <c r="E154" s="6">
        <f>'F100 Detail'!E154+'F200 Detail'!E154+'F500 Detail'!E154+'F600 Detail'!E154</f>
        <v>0</v>
      </c>
      <c r="F154" s="6">
        <f>'F100 Detail'!F154+'F200 Detail'!F154+'F500 Detail'!F154+'F600 Detail'!F154</f>
        <v>0</v>
      </c>
      <c r="G154" s="9">
        <f t="shared" si="21"/>
        <v>0</v>
      </c>
      <c r="I154" s="9"/>
    </row>
    <row r="155" spans="1:9" s="4" customFormat="1" ht="15">
      <c r="A155" s="8" t="s">
        <v>37</v>
      </c>
      <c r="B155" s="6">
        <f>'F100 Detail'!B155+'F200 Detail'!B155+'F500 Detail'!B155+'F600 Detail'!B155</f>
        <v>0</v>
      </c>
      <c r="C155" s="6">
        <f>'F100 Detail'!C155+'F200 Detail'!C155+'F500 Detail'!C155+'F600 Detail'!C155</f>
        <v>0</v>
      </c>
      <c r="D155" s="6">
        <f>'F100 Detail'!D155+'F200 Detail'!D155+'F500 Detail'!D155+'F600 Detail'!D155</f>
        <v>0</v>
      </c>
      <c r="E155" s="6">
        <f>'F100 Detail'!E155+'F200 Detail'!E155+'F500 Detail'!E155+'F600 Detail'!E155</f>
        <v>0</v>
      </c>
      <c r="F155" s="6">
        <f>'F100 Detail'!F155+'F200 Detail'!F155+'F500 Detail'!F155+'F600 Detail'!F155</f>
        <v>0</v>
      </c>
      <c r="G155" s="9">
        <f t="shared" si="21"/>
        <v>0</v>
      </c>
      <c r="I155" s="9"/>
    </row>
    <row r="156" spans="1:9" s="4" customFormat="1" ht="15">
      <c r="A156" s="8" t="s">
        <v>38</v>
      </c>
      <c r="B156" s="6">
        <f>'F100 Detail'!B156+'F200 Detail'!B156+'F500 Detail'!B156+'F600 Detail'!B156</f>
        <v>0</v>
      </c>
      <c r="C156" s="6">
        <f>'F100 Detail'!C156+'F200 Detail'!C156+'F500 Detail'!C156+'F600 Detail'!C156</f>
        <v>0</v>
      </c>
      <c r="D156" s="6">
        <f>'F100 Detail'!D156+'F200 Detail'!D156+'F500 Detail'!D156+'F600 Detail'!D156</f>
        <v>0</v>
      </c>
      <c r="E156" s="6">
        <f>'F100 Detail'!E156+'F200 Detail'!E156+'F500 Detail'!E156+'F600 Detail'!E156</f>
        <v>0</v>
      </c>
      <c r="F156" s="6">
        <f>'F100 Detail'!F156+'F200 Detail'!F156+'F500 Detail'!F156+'F600 Detail'!F156</f>
        <v>0</v>
      </c>
      <c r="G156" s="9">
        <f t="shared" si="21"/>
        <v>0</v>
      </c>
      <c r="I156" s="9"/>
    </row>
    <row r="157" spans="1:9" s="4" customFormat="1" ht="15">
      <c r="A157" s="8" t="s">
        <v>39</v>
      </c>
      <c r="B157" s="6">
        <f>'F100 Detail'!B157+'F200 Detail'!B157+'F500 Detail'!B157+'F600 Detail'!B157</f>
        <v>57833491.100000001</v>
      </c>
      <c r="C157" s="6">
        <f>'F100 Detail'!C157+'F200 Detail'!C157+'F500 Detail'!C157+'F600 Detail'!C157</f>
        <v>67230578.650000006</v>
      </c>
      <c r="D157" s="6">
        <f>'F100 Detail'!D157+'F200 Detail'!D157+'F500 Detail'!D157+'F600 Detail'!D157</f>
        <v>68060680</v>
      </c>
      <c r="E157" s="6">
        <f>'F100 Detail'!E157+'F200 Detail'!E157+'F500 Detail'!E157+'F600 Detail'!E157</f>
        <v>78664435</v>
      </c>
      <c r="F157" s="6">
        <f>'F100 Detail'!F157+'F200 Detail'!F157+'F500 Detail'!F157+'F600 Detail'!F157</f>
        <v>83484994</v>
      </c>
      <c r="G157" s="9">
        <f t="shared" si="21"/>
        <v>15424314</v>
      </c>
      <c r="I157" s="9"/>
    </row>
    <row r="158" spans="1:9" s="4" customFormat="1" ht="17.25">
      <c r="A158" s="8" t="s">
        <v>40</v>
      </c>
      <c r="B158" s="19">
        <f>'F100 Detail'!B158+'F200 Detail'!B158+'F500 Detail'!B158+'F600 Detail'!B158</f>
        <v>0</v>
      </c>
      <c r="C158" s="19">
        <f>'F100 Detail'!C158+'F200 Detail'!C158+'F500 Detail'!C158+'F600 Detail'!C158</f>
        <v>0</v>
      </c>
      <c r="D158" s="19">
        <f>'F100 Detail'!D158+'F200 Detail'!D158+'F500 Detail'!D158+'F600 Detail'!D158</f>
        <v>0</v>
      </c>
      <c r="E158" s="19">
        <f>'F100 Detail'!E158+'F200 Detail'!E158+'F500 Detail'!E158+'F600 Detail'!E158</f>
        <v>0</v>
      </c>
      <c r="F158" s="19">
        <f>'F100 Detail'!F158+'F200 Detail'!F158+'F500 Detail'!F158+'F600 Detail'!F158</f>
        <v>0</v>
      </c>
      <c r="G158" s="10">
        <f t="shared" si="21"/>
        <v>0</v>
      </c>
      <c r="I158" s="9"/>
    </row>
    <row r="159" spans="1:9" s="4" customFormat="1" ht="17.25">
      <c r="A159" s="8" t="s">
        <v>42</v>
      </c>
      <c r="B159" s="19">
        <f>'F100 Detail'!B157+'F200 Detail'!B159+'F500 Detail'!B159+'F600 Detail'!B159</f>
        <v>57833491.100000001</v>
      </c>
      <c r="C159" s="19">
        <f>SUM(C153:C158)</f>
        <v>67230578.650000006</v>
      </c>
      <c r="D159" s="19">
        <f>SUM(D153:D158)</f>
        <v>68060680</v>
      </c>
      <c r="E159" s="19">
        <f>SUM(E153:E158)</f>
        <v>78664435</v>
      </c>
      <c r="F159" s="19">
        <f>SUM(F153:F158)</f>
        <v>83484994</v>
      </c>
      <c r="G159" s="37">
        <f>SUM(G153:G158)</f>
        <v>15424314</v>
      </c>
      <c r="I159" s="9"/>
    </row>
    <row r="160" spans="1:9" s="4" customFormat="1" ht="15">
      <c r="A160" s="7"/>
      <c r="B160" s="6"/>
      <c r="C160" s="6"/>
      <c r="D160" s="6"/>
      <c r="E160" s="6"/>
      <c r="F160" s="6"/>
      <c r="G160" s="9"/>
      <c r="I160" s="9"/>
    </row>
    <row r="161" spans="1:9" s="4" customFormat="1" ht="15">
      <c r="A161" s="7" t="s">
        <v>60</v>
      </c>
      <c r="B161" s="6"/>
      <c r="C161" s="6"/>
      <c r="D161" s="6"/>
      <c r="E161" s="6"/>
      <c r="F161" s="6"/>
      <c r="G161" s="9"/>
      <c r="I161" s="9"/>
    </row>
    <row r="162" spans="1:9" s="4" customFormat="1" ht="15">
      <c r="A162" s="8" t="s">
        <v>35</v>
      </c>
      <c r="B162" s="6">
        <f>'F100 Detail'!B162+'F200 Detail'!B162+'F500 Detail'!B162+'F600 Detail'!B162</f>
        <v>455825.35000000009</v>
      </c>
      <c r="C162" s="6">
        <f>'F100 Detail'!C162+'F200 Detail'!C162+'F500 Detail'!C162+'F600 Detail'!C162</f>
        <v>468684.66000000003</v>
      </c>
      <c r="D162" s="6">
        <f>'F100 Detail'!D162+'F200 Detail'!D162+'F500 Detail'!D162+'F600 Detail'!D162</f>
        <v>488072.28</v>
      </c>
      <c r="E162" s="6">
        <f>'F100 Detail'!E162+'F200 Detail'!E162+'F500 Detail'!E162+'F600 Detail'!E162</f>
        <v>731155.10999999987</v>
      </c>
      <c r="F162" s="6">
        <f>'F100 Detail'!F162+'F200 Detail'!F162+'F500 Detail'!F162+'F600 Detail'!F162</f>
        <v>1154046</v>
      </c>
      <c r="G162" s="36">
        <f t="shared" ref="G162:G167" si="22">F162-D162</f>
        <v>665973.72</v>
      </c>
      <c r="I162" s="9"/>
    </row>
    <row r="163" spans="1:9" s="4" customFormat="1" ht="15">
      <c r="A163" s="8" t="s">
        <v>36</v>
      </c>
      <c r="B163" s="6">
        <f>'F100 Detail'!B163+'F200 Detail'!B163+'F500 Detail'!B163+'F600 Detail'!B163</f>
        <v>80987.490000000005</v>
      </c>
      <c r="C163" s="6">
        <f>'F100 Detail'!C163+'F200 Detail'!C163+'F500 Detail'!C163+'F600 Detail'!C163</f>
        <v>70169.14</v>
      </c>
      <c r="D163" s="6">
        <f>'F100 Detail'!D163+'F200 Detail'!D163+'F500 Detail'!D163+'F600 Detail'!D163</f>
        <v>35147</v>
      </c>
      <c r="E163" s="6">
        <f>'F100 Detail'!E163+'F200 Detail'!E163+'F500 Detail'!E163+'F600 Detail'!E163</f>
        <v>100000</v>
      </c>
      <c r="F163" s="6">
        <f>'F100 Detail'!F163+'F200 Detail'!F163+'F500 Detail'!F163+'F600 Detail'!F163</f>
        <v>72448</v>
      </c>
      <c r="G163" s="9">
        <f t="shared" si="22"/>
        <v>37301</v>
      </c>
      <c r="I163" s="9"/>
    </row>
    <row r="164" spans="1:9" s="4" customFormat="1" ht="15">
      <c r="A164" s="8" t="s">
        <v>37</v>
      </c>
      <c r="B164" s="6">
        <f>'F100 Detail'!B164+'F200 Detail'!B164+'F500 Detail'!B164+'F600 Detail'!B164</f>
        <v>8820274.6799999997</v>
      </c>
      <c r="C164" s="6">
        <f>'F100 Detail'!C164+'F200 Detail'!C164+'F500 Detail'!C164+'F600 Detail'!C164</f>
        <v>3721994.91</v>
      </c>
      <c r="D164" s="6">
        <f>'F100 Detail'!D164+'F200 Detail'!D164+'F500 Detail'!D164+'F600 Detail'!D164</f>
        <v>13293322.08</v>
      </c>
      <c r="E164" s="6">
        <f>'F100 Detail'!E164+'F200 Detail'!E164+'F500 Detail'!E164+'F600 Detail'!E164</f>
        <v>50548313.109999999</v>
      </c>
      <c r="F164" s="6">
        <f>'F100 Detail'!F164+'F200 Detail'!F164+'F500 Detail'!F164+'F600 Detail'!F164</f>
        <v>38387828.100000001</v>
      </c>
      <c r="G164" s="9">
        <f t="shared" si="22"/>
        <v>25094506.020000003</v>
      </c>
      <c r="I164" s="9"/>
    </row>
    <row r="165" spans="1:9" s="4" customFormat="1" ht="15">
      <c r="A165" s="8" t="s">
        <v>38</v>
      </c>
      <c r="B165" s="6">
        <f>'F100 Detail'!B165+'F200 Detail'!B165+'F500 Detail'!B165+'F600 Detail'!B165</f>
        <v>27520.93</v>
      </c>
      <c r="C165" s="6">
        <f>'F100 Detail'!C165+'F200 Detail'!C165+'F500 Detail'!C165+'F600 Detail'!C165</f>
        <v>22279.489999999998</v>
      </c>
      <c r="D165" s="6">
        <f>'F100 Detail'!D165+'F200 Detail'!D165+'F500 Detail'!D165+'F600 Detail'!D165</f>
        <v>10270.77</v>
      </c>
      <c r="E165" s="6">
        <f>'F100 Detail'!E165+'F200 Detail'!E165+'F500 Detail'!E165+'F600 Detail'!E165</f>
        <v>179765.85</v>
      </c>
      <c r="F165" s="6">
        <f>'F100 Detail'!F165+'F200 Detail'!F165+'F500 Detail'!F165+'F600 Detail'!F165</f>
        <v>25000</v>
      </c>
      <c r="G165" s="9">
        <f t="shared" si="22"/>
        <v>14729.23</v>
      </c>
      <c r="I165" s="9"/>
    </row>
    <row r="166" spans="1:9" s="4" customFormat="1" ht="15">
      <c r="A166" s="8" t="s">
        <v>39</v>
      </c>
      <c r="B166" s="6">
        <f>'F100 Detail'!B166+'F200 Detail'!B166+'F500 Detail'!B166+'F600 Detail'!B166</f>
        <v>0</v>
      </c>
      <c r="C166" s="6">
        <f>'F100 Detail'!C166+'F200 Detail'!C166+'F500 Detail'!C166+'F600 Detail'!C166</f>
        <v>0</v>
      </c>
      <c r="D166" s="6">
        <f>'F100 Detail'!D166+'F200 Detail'!D166+'F500 Detail'!D166+'F600 Detail'!D166</f>
        <v>0</v>
      </c>
      <c r="E166" s="6">
        <f>'F100 Detail'!E166+'F200 Detail'!E166+'F500 Detail'!E166+'F600 Detail'!E166</f>
        <v>800000</v>
      </c>
      <c r="F166" s="6">
        <f>'F100 Detail'!F166+'F200 Detail'!F166+'F500 Detail'!F166+'F600 Detail'!F166</f>
        <v>0</v>
      </c>
      <c r="G166" s="9">
        <f t="shared" si="22"/>
        <v>0</v>
      </c>
      <c r="I166" s="9"/>
    </row>
    <row r="167" spans="1:9" s="4" customFormat="1" ht="17.25">
      <c r="A167" s="8" t="s">
        <v>40</v>
      </c>
      <c r="B167" s="19">
        <f>'F100 Detail'!B167+'F200 Detail'!B167+'F500 Detail'!B167+'F600 Detail'!B167</f>
        <v>57540338.589999989</v>
      </c>
      <c r="C167" s="19">
        <f>'F100 Detail'!C167+'F200 Detail'!C167+'F500 Detail'!C167+'F600 Detail'!C167</f>
        <v>89770522.190000057</v>
      </c>
      <c r="D167" s="19">
        <f>'F100 Detail'!D167+'F200 Detail'!D167+'F500 Detail'!D167+'F600 Detail'!D167</f>
        <v>84046673.180000007</v>
      </c>
      <c r="E167" s="19">
        <f>'F100 Detail'!E167+'F200 Detail'!E167+'F500 Detail'!E167+'F600 Detail'!E167</f>
        <v>159932151.61000001</v>
      </c>
      <c r="F167" s="19">
        <f>'F100 Detail'!F167+'F200 Detail'!F167+'F500 Detail'!F167+'F600 Detail'!F167</f>
        <v>148122357.30000001</v>
      </c>
      <c r="G167" s="10">
        <f t="shared" si="22"/>
        <v>64075684.120000005</v>
      </c>
      <c r="I167" s="9"/>
    </row>
    <row r="168" spans="1:9" s="4" customFormat="1" ht="17.25">
      <c r="A168" s="8" t="s">
        <v>42</v>
      </c>
      <c r="B168" s="19">
        <f>'F100 Detail'!B168+'F200 Detail'!B168+'F500 Detail'!B168+'F600 Detail'!B168</f>
        <v>66924947.039999984</v>
      </c>
      <c r="C168" s="19">
        <f>SUM(C162:C167)</f>
        <v>94053650.39000006</v>
      </c>
      <c r="D168" s="19">
        <f>SUM(D162:D167)</f>
        <v>97873485.310000002</v>
      </c>
      <c r="E168" s="19">
        <f>SUM(E162:E167)</f>
        <v>212291385.68000001</v>
      </c>
      <c r="F168" s="19">
        <f>SUM(F162:F167)</f>
        <v>187761679.40000001</v>
      </c>
      <c r="G168" s="37">
        <f>SUM(G162:G167)</f>
        <v>89888194.090000004</v>
      </c>
      <c r="I168" s="9"/>
    </row>
    <row r="169" spans="1:9" s="4" customFormat="1" ht="15">
      <c r="A169" s="7"/>
      <c r="B169" s="6"/>
      <c r="C169" s="6"/>
      <c r="D169" s="6"/>
      <c r="E169" s="6"/>
      <c r="F169" s="6"/>
      <c r="G169" s="9"/>
      <c r="I169" s="9"/>
    </row>
    <row r="170" spans="1:9" s="4" customFormat="1" ht="15">
      <c r="A170" s="41" t="s">
        <v>69</v>
      </c>
      <c r="B170" s="6"/>
      <c r="C170" s="6"/>
      <c r="D170" s="6"/>
      <c r="E170" s="6"/>
      <c r="F170" s="6"/>
      <c r="H170" s="9"/>
    </row>
    <row r="171" spans="1:9" s="4" customFormat="1" ht="15">
      <c r="A171" s="8" t="s">
        <v>35</v>
      </c>
      <c r="B171" s="6">
        <f>'F100 Detail'!B171+'F200 Detail'!B171+'F500 Detail'!B171+'F600 Detail'!B171</f>
        <v>0</v>
      </c>
      <c r="C171" s="6">
        <f>'F100 Detail'!C171+'F200 Detail'!C171+'F500 Detail'!C171+'F600 Detail'!C171</f>
        <v>0</v>
      </c>
      <c r="D171" s="6">
        <f>'F100 Detail'!D171+'F200 Detail'!D171+'F500 Detail'!D171+'F600 Detail'!D171</f>
        <v>0</v>
      </c>
      <c r="E171" s="6">
        <f>'F100 Detail'!E171+'F200 Detail'!E171+'F500 Detail'!E171+'F600 Detail'!E171</f>
        <v>0</v>
      </c>
      <c r="F171" s="6">
        <f>'F100 Detail'!F171+'F200 Detail'!F171+'F500 Detail'!F171+'F600 Detail'!F171</f>
        <v>0</v>
      </c>
      <c r="H171" s="9"/>
    </row>
    <row r="172" spans="1:9" s="4" customFormat="1" ht="15">
      <c r="A172" s="8" t="s">
        <v>36</v>
      </c>
      <c r="B172" s="6">
        <f>'F100 Detail'!B172+'F200 Detail'!B172+'F500 Detail'!B172+'F600 Detail'!B172</f>
        <v>0</v>
      </c>
      <c r="C172" s="6">
        <f>'F100 Detail'!C172+'F200 Detail'!C172+'F500 Detail'!C172+'F600 Detail'!C172</f>
        <v>0</v>
      </c>
      <c r="D172" s="6">
        <f>'F100 Detail'!D172+'F200 Detail'!D172+'F500 Detail'!D172+'F600 Detail'!D172</f>
        <v>4456091</v>
      </c>
      <c r="E172" s="6">
        <f>'F100 Detail'!E172+'F200 Detail'!E172+'F500 Detail'!E172+'F600 Detail'!E172</f>
        <v>3480895</v>
      </c>
      <c r="F172" s="6">
        <f>'F100 Detail'!F172+'F200 Detail'!F172+'F500 Detail'!F172+'F600 Detail'!F172</f>
        <v>5780895</v>
      </c>
      <c r="H172" s="9"/>
    </row>
    <row r="173" spans="1:9" s="4" customFormat="1" ht="15">
      <c r="A173" s="8" t="s">
        <v>37</v>
      </c>
      <c r="B173" s="6">
        <f>'F100 Detail'!B173+'F200 Detail'!B173+'F500 Detail'!B173+'F600 Detail'!B173</f>
        <v>0</v>
      </c>
      <c r="C173" s="6">
        <f>'F100 Detail'!C173+'F200 Detail'!C173+'F500 Detail'!C173+'F600 Detail'!C173</f>
        <v>0</v>
      </c>
      <c r="D173" s="6">
        <f>'F100 Detail'!D173+'F200 Detail'!D173+'F500 Detail'!D173+'F600 Detail'!D173</f>
        <v>0</v>
      </c>
      <c r="E173" s="6">
        <f>'F100 Detail'!E173+'F200 Detail'!E173+'F500 Detail'!E173+'F600 Detail'!E173</f>
        <v>0</v>
      </c>
      <c r="F173" s="6">
        <f>'F100 Detail'!F173+'F200 Detail'!F173+'F500 Detail'!F173+'F600 Detail'!F173</f>
        <v>0</v>
      </c>
      <c r="H173" s="9"/>
    </row>
    <row r="174" spans="1:9" s="4" customFormat="1" ht="15">
      <c r="A174" s="8" t="s">
        <v>38</v>
      </c>
      <c r="B174" s="6">
        <f>'F100 Detail'!B174+'F200 Detail'!B174+'F500 Detail'!B174+'F600 Detail'!B174</f>
        <v>0</v>
      </c>
      <c r="C174" s="6">
        <f>'F100 Detail'!C174+'F200 Detail'!C174+'F500 Detail'!C174+'F600 Detail'!C174</f>
        <v>0</v>
      </c>
      <c r="D174" s="6">
        <f>'F100 Detail'!D174+'F200 Detail'!D174+'F500 Detail'!D174+'F600 Detail'!D174</f>
        <v>0</v>
      </c>
      <c r="E174" s="6">
        <f>'F100 Detail'!E174+'F200 Detail'!E174+'F500 Detail'!E174+'F600 Detail'!E174</f>
        <v>0</v>
      </c>
      <c r="F174" s="6">
        <f>'F100 Detail'!F174+'F200 Detail'!F174+'F500 Detail'!F174+'F600 Detail'!F174</f>
        <v>0</v>
      </c>
      <c r="H174" s="9"/>
    </row>
    <row r="175" spans="1:9" s="4" customFormat="1" ht="15">
      <c r="A175" s="8" t="s">
        <v>39</v>
      </c>
      <c r="B175" s="6">
        <f>'F100 Detail'!B175+'F200 Detail'!B175+'F500 Detail'!B175+'F600 Detail'!B175</f>
        <v>0</v>
      </c>
      <c r="C175" s="6">
        <f>'F100 Detail'!C175+'F200 Detail'!C175+'F500 Detail'!C175+'F600 Detail'!C175</f>
        <v>0</v>
      </c>
      <c r="D175" s="6">
        <f>'F100 Detail'!D175+'F200 Detail'!D175+'F500 Detail'!D175+'F600 Detail'!D175</f>
        <v>0</v>
      </c>
      <c r="E175" s="6">
        <f>'F100 Detail'!E175+'F200 Detail'!E175+'F500 Detail'!E175+'F600 Detail'!E175</f>
        <v>0</v>
      </c>
      <c r="F175" s="6">
        <f>'F100 Detail'!F175+'F200 Detail'!F175+'F500 Detail'!F175+'F600 Detail'!F175</f>
        <v>0</v>
      </c>
      <c r="H175" s="9"/>
    </row>
    <row r="176" spans="1:9" s="4" customFormat="1" ht="17.25">
      <c r="A176" s="8" t="s">
        <v>40</v>
      </c>
      <c r="B176" s="19">
        <f>'F100 Detail'!B176+'F200 Detail'!B176+'F500 Detail'!B176+'F600 Detail'!B176</f>
        <v>0</v>
      </c>
      <c r="C176" s="19">
        <f>'F100 Detail'!C176+'F200 Detail'!C176+'F500 Detail'!C176+'F600 Detail'!C176</f>
        <v>0</v>
      </c>
      <c r="D176" s="19">
        <f>'F100 Detail'!D176+'F200 Detail'!D176+'F500 Detail'!D176+'F600 Detail'!D176</f>
        <v>0</v>
      </c>
      <c r="E176" s="19">
        <f>'F100 Detail'!E176+'F200 Detail'!E176+'F500 Detail'!E176+'F600 Detail'!E176</f>
        <v>0</v>
      </c>
      <c r="F176" s="19">
        <f>'F100 Detail'!F176+'F200 Detail'!F176+'F500 Detail'!F176+'F600 Detail'!F176</f>
        <v>0</v>
      </c>
      <c r="H176" s="9"/>
    </row>
    <row r="177" spans="1:8" s="4" customFormat="1" ht="17.25">
      <c r="A177" s="8" t="s">
        <v>42</v>
      </c>
      <c r="B177" s="19">
        <f>'F100 Detail'!B177+'F200 Detail'!B177+'F500 Detail'!B177+'F600 Detail'!B177</f>
        <v>0</v>
      </c>
      <c r="C177" s="19">
        <f>SUM(C171:C176)</f>
        <v>0</v>
      </c>
      <c r="D177" s="19">
        <f>SUM(D171:D176)</f>
        <v>4456091</v>
      </c>
      <c r="E177" s="19">
        <f>SUM(E171:E176)</f>
        <v>3480895</v>
      </c>
      <c r="F177" s="19">
        <f>SUM(F171:F176)</f>
        <v>5780895</v>
      </c>
      <c r="H177" s="9"/>
    </row>
    <row r="178" spans="1:8" s="4" customFormat="1" ht="15">
      <c r="A178" s="7"/>
      <c r="B178" s="6"/>
      <c r="C178" s="6"/>
      <c r="D178" s="6"/>
      <c r="E178" s="6"/>
      <c r="F178" s="6"/>
      <c r="H178" s="9"/>
    </row>
    <row r="179" spans="1:8" s="4" customFormat="1" ht="15">
      <c r="A179" s="41" t="s">
        <v>84</v>
      </c>
      <c r="B179" s="6"/>
      <c r="C179" s="6"/>
      <c r="D179" s="6"/>
      <c r="E179" s="6"/>
      <c r="F179" s="6"/>
      <c r="H179" s="9"/>
    </row>
    <row r="180" spans="1:8" s="4" customFormat="1" ht="15">
      <c r="A180" s="8" t="s">
        <v>35</v>
      </c>
      <c r="B180" s="6">
        <f>'F100 Detail'!B180+'F200 Detail'!B180+'F500 Detail'!B180+'F600 Detail'!B180</f>
        <v>0</v>
      </c>
      <c r="C180" s="6">
        <f>'F100 Detail'!C180+'F200 Detail'!C180+'F500 Detail'!C180+'F600 Detail'!C180</f>
        <v>0</v>
      </c>
      <c r="D180" s="6">
        <f>'F100 Detail'!D180+'F200 Detail'!D180+'F500 Detail'!D180+'F600 Detail'!D180</f>
        <v>0</v>
      </c>
      <c r="E180" s="6">
        <f>'F100 Detail'!E180+'F200 Detail'!E180+'F500 Detail'!E180+'F600 Detail'!E180</f>
        <v>0</v>
      </c>
      <c r="F180" s="6">
        <f>'F100 Detail'!F180+'F200 Detail'!F180+'F500 Detail'!F180+'F600 Detail'!F180</f>
        <v>0</v>
      </c>
      <c r="H180" s="9"/>
    </row>
    <row r="181" spans="1:8" s="4" customFormat="1" ht="15">
      <c r="A181" s="8" t="s">
        <v>36</v>
      </c>
      <c r="B181" s="6">
        <f>'F100 Detail'!B181+'F200 Detail'!B181+'F500 Detail'!B181+'F600 Detail'!B181</f>
        <v>0</v>
      </c>
      <c r="C181" s="6">
        <f>'F100 Detail'!C181+'F200 Detail'!C181+'F500 Detail'!C181+'F600 Detail'!C181</f>
        <v>0</v>
      </c>
      <c r="D181" s="6">
        <f>'F100 Detail'!D181+'F200 Detail'!D181+'F500 Detail'!D181+'F600 Detail'!D181</f>
        <v>0</v>
      </c>
      <c r="E181" s="6">
        <f>'F100 Detail'!E181+'F200 Detail'!E181+'F500 Detail'!E181+'F600 Detail'!E181</f>
        <v>0</v>
      </c>
      <c r="F181" s="6">
        <f>'F100 Detail'!F181+'F200 Detail'!F181+'F500 Detail'!F181+'F600 Detail'!F181</f>
        <v>0</v>
      </c>
      <c r="H181" s="9"/>
    </row>
    <row r="182" spans="1:8" s="4" customFormat="1" ht="15">
      <c r="A182" s="8" t="s">
        <v>37</v>
      </c>
      <c r="B182" s="6">
        <f>'F100 Detail'!B182+'F200 Detail'!B182+'F500 Detail'!B182+'F600 Detail'!B182</f>
        <v>0</v>
      </c>
      <c r="C182" s="6">
        <f>'F100 Detail'!C182+'F200 Detail'!C182+'F500 Detail'!C182+'F600 Detail'!C182</f>
        <v>0</v>
      </c>
      <c r="D182" s="6">
        <f>'F100 Detail'!D182+'F200 Detail'!D182+'F500 Detail'!D182+'F600 Detail'!D182</f>
        <v>0</v>
      </c>
      <c r="E182" s="6">
        <f>'F100 Detail'!E182+'F200 Detail'!E182+'F500 Detail'!E182+'F600 Detail'!E182</f>
        <v>0</v>
      </c>
      <c r="F182" s="6">
        <f>'F100 Detail'!F182+'F200 Detail'!F182+'F500 Detail'!F182+'F600 Detail'!F182</f>
        <v>0</v>
      </c>
      <c r="H182" s="9"/>
    </row>
    <row r="183" spans="1:8" s="4" customFormat="1" ht="15">
      <c r="A183" s="8" t="s">
        <v>38</v>
      </c>
      <c r="B183" s="6">
        <f>'F100 Detail'!B183+'F200 Detail'!B183+'F500 Detail'!B183+'F600 Detail'!B183</f>
        <v>106000</v>
      </c>
      <c r="C183" s="6">
        <f>'F100 Detail'!C183+'F200 Detail'!C183+'F500 Detail'!C183+'F600 Detail'!C183</f>
        <v>12000</v>
      </c>
      <c r="D183" s="6">
        <f>'F100 Detail'!D183+'F200 Detail'!D183+'F500 Detail'!D183+'F600 Detail'!D183</f>
        <v>179000</v>
      </c>
      <c r="E183" s="6">
        <f>'F100 Detail'!E183+'F200 Detail'!E183+'F500 Detail'!E183+'F600 Detail'!E183</f>
        <v>80000</v>
      </c>
      <c r="F183" s="6">
        <f>'F100 Detail'!F183+'F200 Detail'!F183+'F500 Detail'!F183+'F600 Detail'!F183</f>
        <v>80000</v>
      </c>
      <c r="H183" s="9"/>
    </row>
    <row r="184" spans="1:8" s="4" customFormat="1" ht="15">
      <c r="A184" s="8" t="s">
        <v>39</v>
      </c>
      <c r="B184" s="6">
        <f>'F100 Detail'!B184+'F200 Detail'!B184+'F500 Detail'!B184+'F600 Detail'!B184</f>
        <v>0</v>
      </c>
      <c r="C184" s="6">
        <f>'F100 Detail'!C184+'F200 Detail'!C184+'F500 Detail'!C184+'F600 Detail'!C184</f>
        <v>0</v>
      </c>
      <c r="D184" s="6">
        <f>'F100 Detail'!D184+'F200 Detail'!D184+'F500 Detail'!D184+'F600 Detail'!D184</f>
        <v>0</v>
      </c>
      <c r="E184" s="6">
        <f>'F100 Detail'!E184+'F200 Detail'!E184+'F500 Detail'!E184+'F600 Detail'!E184</f>
        <v>0</v>
      </c>
      <c r="F184" s="6">
        <f>'F100 Detail'!F184+'F200 Detail'!F184+'F500 Detail'!F184+'F600 Detail'!F184</f>
        <v>0</v>
      </c>
      <c r="H184" s="9"/>
    </row>
    <row r="185" spans="1:8" s="4" customFormat="1" ht="17.25">
      <c r="A185" s="8" t="s">
        <v>40</v>
      </c>
      <c r="B185" s="19">
        <f>'F100 Detail'!B185+'F200 Detail'!B185+'F500 Detail'!B185+'F600 Detail'!B185</f>
        <v>0</v>
      </c>
      <c r="C185" s="19">
        <f>'F100 Detail'!C185+'F200 Detail'!C185+'F500 Detail'!C185+'F600 Detail'!C185</f>
        <v>0</v>
      </c>
      <c r="D185" s="19">
        <f>'F100 Detail'!D185+'F200 Detail'!D185+'F500 Detail'!D185+'F600 Detail'!D185</f>
        <v>0</v>
      </c>
      <c r="E185" s="19">
        <f>'F100 Detail'!E185+'F200 Detail'!E185+'F500 Detail'!E185+'F600 Detail'!E185</f>
        <v>0</v>
      </c>
      <c r="F185" s="19">
        <f>'F100 Detail'!F185+'F200 Detail'!F185+'F500 Detail'!F185+'F600 Detail'!F185</f>
        <v>0</v>
      </c>
      <c r="H185" s="9"/>
    </row>
    <row r="186" spans="1:8" s="4" customFormat="1" ht="15">
      <c r="A186" s="8" t="s">
        <v>42</v>
      </c>
      <c r="B186" s="54">
        <f>SUM(B180:B185)</f>
        <v>106000</v>
      </c>
      <c r="C186" s="54">
        <f>SUM(C180:C185)</f>
        <v>12000</v>
      </c>
      <c r="D186" s="54">
        <f>SUM(D180:D185)</f>
        <v>179000</v>
      </c>
      <c r="E186" s="54">
        <f>SUM(E180:E185)</f>
        <v>80000</v>
      </c>
      <c r="F186" s="54">
        <f>SUM(F180:F185)</f>
        <v>80000</v>
      </c>
      <c r="H186" s="9"/>
    </row>
    <row r="187" spans="1:8" s="4" customFormat="1" ht="15">
      <c r="A187" s="8"/>
      <c r="B187" s="54"/>
      <c r="C187" s="54"/>
      <c r="D187" s="54"/>
      <c r="E187" s="54"/>
      <c r="F187" s="54"/>
      <c r="H187" s="9"/>
    </row>
    <row r="188" spans="1:8" s="29" customFormat="1" ht="15.75">
      <c r="A188" s="41" t="s">
        <v>82</v>
      </c>
      <c r="B188" s="6"/>
      <c r="C188" s="6"/>
      <c r="D188" s="6"/>
      <c r="E188" s="6"/>
      <c r="F188" s="6"/>
      <c r="G188" s="35"/>
    </row>
    <row r="189" spans="1:8" s="29" customFormat="1" ht="15.75">
      <c r="A189" s="8" t="s">
        <v>35</v>
      </c>
      <c r="B189" s="6">
        <f>'F100 Detail'!B189+'F200 Detail'!B189+'F500 Detail'!B189+'F600 Detail'!B189</f>
        <v>0</v>
      </c>
      <c r="C189" s="6">
        <f>'F100 Detail'!C189+'F200 Detail'!C189+'F500 Detail'!C189+'F600 Detail'!C189</f>
        <v>0</v>
      </c>
      <c r="D189" s="6">
        <f>'F100 Detail'!D189+'F200 Detail'!D189+'F500 Detail'!D189+'F600 Detail'!D189</f>
        <v>0</v>
      </c>
      <c r="E189" s="6">
        <f>'F100 Detail'!E189+'F200 Detail'!E189+'F500 Detail'!E189+'F600 Detail'!E189</f>
        <v>0</v>
      </c>
      <c r="F189" s="6">
        <f>'F100 Detail'!F189+'F200 Detail'!F189+'F500 Detail'!F189+'F600 Detail'!F189</f>
        <v>0</v>
      </c>
      <c r="G189" s="35"/>
    </row>
    <row r="190" spans="1:8" s="29" customFormat="1" ht="15.75">
      <c r="A190" s="8" t="s">
        <v>36</v>
      </c>
      <c r="B190" s="6">
        <f>'F100 Detail'!B190+'F200 Detail'!B190+'F500 Detail'!B190+'F600 Detail'!B190</f>
        <v>6319</v>
      </c>
      <c r="C190" s="6">
        <f>'F100 Detail'!C190+'F200 Detail'!C190+'F500 Detail'!C190+'F600 Detail'!C190</f>
        <v>6764</v>
      </c>
      <c r="D190" s="6">
        <f>'F100 Detail'!D190+'F200 Detail'!D190+'F500 Detail'!D190+'F600 Detail'!D190</f>
        <v>5518</v>
      </c>
      <c r="E190" s="6">
        <f>'F100 Detail'!E190+'F200 Detail'!E190+'F500 Detail'!E190+'F600 Detail'!E190</f>
        <v>10000</v>
      </c>
      <c r="F190" s="6">
        <f>'F100 Detail'!F190+'F200 Detail'!F190+'F500 Detail'!F190+'F600 Detail'!F190</f>
        <v>10000</v>
      </c>
      <c r="G190" s="35"/>
    </row>
    <row r="191" spans="1:8" s="29" customFormat="1" ht="15.75">
      <c r="A191" s="8" t="s">
        <v>37</v>
      </c>
      <c r="B191" s="6">
        <f>'F100 Detail'!B191+'F200 Detail'!B191+'F500 Detail'!B191+'F600 Detail'!B191</f>
        <v>0</v>
      </c>
      <c r="C191" s="6">
        <f>'F100 Detail'!C191+'F200 Detail'!C191+'F500 Detail'!C191+'F600 Detail'!C191</f>
        <v>0</v>
      </c>
      <c r="D191" s="6">
        <f>'F100 Detail'!D191+'F200 Detail'!D191+'F500 Detail'!D191+'F600 Detail'!D191</f>
        <v>0</v>
      </c>
      <c r="E191" s="6">
        <f>'F100 Detail'!E191+'F200 Detail'!E191+'F500 Detail'!E191+'F600 Detail'!E191</f>
        <v>0</v>
      </c>
      <c r="F191" s="6">
        <f>'F100 Detail'!F191+'F200 Detail'!F191+'F500 Detail'!F191+'F600 Detail'!F191</f>
        <v>0</v>
      </c>
      <c r="G191" s="35"/>
    </row>
    <row r="192" spans="1:8" s="29" customFormat="1" ht="15.75">
      <c r="A192" s="8" t="s">
        <v>38</v>
      </c>
      <c r="B192" s="6">
        <f>'F100 Detail'!B192+'F200 Detail'!B192+'F500 Detail'!B192+'F600 Detail'!B192</f>
        <v>0</v>
      </c>
      <c r="C192" s="6">
        <f>'F100 Detail'!C192+'F200 Detail'!C192+'F500 Detail'!C192+'F600 Detail'!C192</f>
        <v>0</v>
      </c>
      <c r="D192" s="6">
        <f>'F100 Detail'!D192+'F200 Detail'!D192+'F500 Detail'!D192+'F600 Detail'!D192</f>
        <v>0</v>
      </c>
      <c r="E192" s="6">
        <f>'F100 Detail'!E192+'F200 Detail'!E192+'F500 Detail'!E192+'F600 Detail'!E192</f>
        <v>0</v>
      </c>
      <c r="F192" s="6">
        <f>'F100 Detail'!F192+'F200 Detail'!F192+'F500 Detail'!F192+'F600 Detail'!F192</f>
        <v>0</v>
      </c>
      <c r="G192" s="35"/>
    </row>
    <row r="193" spans="1:8" s="29" customFormat="1" ht="15.75">
      <c r="A193" s="8" t="s">
        <v>39</v>
      </c>
      <c r="B193" s="6">
        <f>'F100 Detail'!B193+'F200 Detail'!B193+'F500 Detail'!B193+'F600 Detail'!B193</f>
        <v>0</v>
      </c>
      <c r="C193" s="6">
        <f>'F100 Detail'!C193+'F200 Detail'!C193+'F500 Detail'!C193+'F600 Detail'!C193</f>
        <v>0</v>
      </c>
      <c r="D193" s="6">
        <f>'F100 Detail'!D193+'F200 Detail'!D193+'F500 Detail'!D193+'F600 Detail'!D193</f>
        <v>0</v>
      </c>
      <c r="E193" s="6">
        <f>'F100 Detail'!E193+'F200 Detail'!E193+'F500 Detail'!E193+'F600 Detail'!E193</f>
        <v>0</v>
      </c>
      <c r="F193" s="6">
        <f>'F100 Detail'!F193+'F200 Detail'!F193+'F500 Detail'!F193+'F600 Detail'!F193</f>
        <v>0</v>
      </c>
      <c r="G193" s="35"/>
    </row>
    <row r="194" spans="1:8" s="29" customFormat="1" ht="18">
      <c r="A194" s="8" t="s">
        <v>40</v>
      </c>
      <c r="B194" s="19">
        <f>'F100 Detail'!B194+'F200 Detail'!B194+'F500 Detail'!B194+'F600 Detail'!B194</f>
        <v>0</v>
      </c>
      <c r="C194" s="19">
        <f>'F100 Detail'!C194+'F200 Detail'!C194+'F500 Detail'!C194+'F600 Detail'!C194</f>
        <v>0</v>
      </c>
      <c r="D194" s="19">
        <f>'F100 Detail'!D194+'F200 Detail'!D194+'F500 Detail'!D194+'F600 Detail'!D194</f>
        <v>0</v>
      </c>
      <c r="E194" s="19">
        <f>'F100 Detail'!E194+'F200 Detail'!E194+'F500 Detail'!E194+'F600 Detail'!E194</f>
        <v>0</v>
      </c>
      <c r="F194" s="19">
        <f>'F100 Detail'!F194+'F200 Detail'!F194+'F500 Detail'!F194+'F600 Detail'!F194</f>
        <v>0</v>
      </c>
      <c r="G194" s="35"/>
    </row>
    <row r="195" spans="1:8" s="29" customFormat="1" ht="18">
      <c r="A195" s="8" t="s">
        <v>42</v>
      </c>
      <c r="B195" s="19">
        <f>'F100 Detail'!B195+'F200 Detail'!B195+'F500 Detail'!B195+'F600 Detail'!B195</f>
        <v>6319</v>
      </c>
      <c r="C195" s="19">
        <f>SUM(C189:C194)</f>
        <v>6764</v>
      </c>
      <c r="D195" s="19">
        <f>SUM(D189:D194)</f>
        <v>5518</v>
      </c>
      <c r="E195" s="19">
        <f>SUM(E189:E194)</f>
        <v>10000</v>
      </c>
      <c r="F195" s="19">
        <f>SUM(F189:F194)</f>
        <v>10000</v>
      </c>
      <c r="G195" s="35"/>
    </row>
    <row r="196" spans="1:8" s="29" customFormat="1" ht="15.75">
      <c r="A196" s="34"/>
      <c r="B196" s="34"/>
      <c r="C196" s="34"/>
      <c r="D196" s="34"/>
      <c r="E196" s="34"/>
      <c r="F196" s="34"/>
      <c r="G196" s="35"/>
    </row>
    <row r="197" spans="1:8" s="29" customFormat="1" ht="15.75">
      <c r="A197" s="41" t="s">
        <v>70</v>
      </c>
      <c r="B197" s="6"/>
      <c r="C197" s="6"/>
      <c r="D197" s="6"/>
      <c r="E197" s="6"/>
      <c r="F197" s="6"/>
      <c r="G197" s="35"/>
    </row>
    <row r="198" spans="1:8" s="29" customFormat="1" ht="15.75">
      <c r="A198" s="8" t="s">
        <v>35</v>
      </c>
      <c r="B198" s="6">
        <f>'F100 Detail'!B198+'F200 Detail'!B198+'F500 Detail'!B198+'F600 Detail'!B198</f>
        <v>0</v>
      </c>
      <c r="C198" s="6">
        <f>'F100 Detail'!C198+'F200 Detail'!C198+'F500 Detail'!C198+'F600 Detail'!C198</f>
        <v>0</v>
      </c>
      <c r="D198" s="6">
        <f>'F100 Detail'!D198+'F200 Detail'!D198+'F500 Detail'!D198+'F600 Detail'!D198</f>
        <v>0</v>
      </c>
      <c r="E198" s="6">
        <f>'F100 Detail'!E198+'F200 Detail'!E198+'F500 Detail'!E198+'F600 Detail'!E198</f>
        <v>0</v>
      </c>
      <c r="F198" s="6">
        <f>'F100 Detail'!F198+'F200 Detail'!F198+'F500 Detail'!F198+'F600 Detail'!F198</f>
        <v>0</v>
      </c>
      <c r="G198" s="35"/>
    </row>
    <row r="199" spans="1:8" s="29" customFormat="1" ht="15.75">
      <c r="A199" s="8" t="s">
        <v>36</v>
      </c>
      <c r="B199" s="6">
        <f>'F100 Detail'!B199+'F200 Detail'!B199+'F500 Detail'!B199+'F600 Detail'!B199</f>
        <v>0</v>
      </c>
      <c r="C199" s="6">
        <f>'F100 Detail'!C199+'F200 Detail'!C199+'F500 Detail'!C199+'F600 Detail'!C199</f>
        <v>0</v>
      </c>
      <c r="D199" s="6">
        <f>'F100 Detail'!D199+'F200 Detail'!D199+'F500 Detail'!D199+'F600 Detail'!D199</f>
        <v>0</v>
      </c>
      <c r="E199" s="6">
        <f>'F100 Detail'!E199+'F200 Detail'!E199+'F500 Detail'!E199+'F600 Detail'!E199</f>
        <v>0</v>
      </c>
      <c r="F199" s="6">
        <f>'F100 Detail'!F199+'F200 Detail'!F199+'F500 Detail'!F199+'F600 Detail'!F199</f>
        <v>0</v>
      </c>
      <c r="G199" s="35"/>
    </row>
    <row r="200" spans="1:8" s="29" customFormat="1" ht="15.75">
      <c r="A200" s="8" t="s">
        <v>37</v>
      </c>
      <c r="B200" s="6">
        <f>'F100 Detail'!B200+'F200 Detail'!B200+'F500 Detail'!B200+'F600 Detail'!B200</f>
        <v>0</v>
      </c>
      <c r="C200" s="6">
        <f>'F100 Detail'!C200+'F200 Detail'!C200+'F500 Detail'!C200+'F600 Detail'!C200</f>
        <v>0</v>
      </c>
      <c r="D200" s="6">
        <f>'F100 Detail'!D200+'F200 Detail'!D200+'F500 Detail'!D200+'F600 Detail'!D200</f>
        <v>0</v>
      </c>
      <c r="E200" s="6">
        <f>'F100 Detail'!E200+'F200 Detail'!E200+'F500 Detail'!E200+'F600 Detail'!E200</f>
        <v>0</v>
      </c>
      <c r="F200" s="6">
        <f>'F100 Detail'!F200+'F200 Detail'!F200+'F500 Detail'!F200+'F600 Detail'!F200</f>
        <v>0</v>
      </c>
      <c r="G200" s="35"/>
    </row>
    <row r="201" spans="1:8" s="29" customFormat="1" ht="15.75">
      <c r="A201" s="8" t="s">
        <v>38</v>
      </c>
      <c r="B201" s="6">
        <f>'F100 Detail'!B201+'F200 Detail'!B201+'F500 Detail'!B201+'F600 Detail'!B201</f>
        <v>917927.98</v>
      </c>
      <c r="C201" s="6">
        <f>'F100 Detail'!C201+'F200 Detail'!C201+'F500 Detail'!C201+'F600 Detail'!C201</f>
        <v>975286.97</v>
      </c>
      <c r="D201" s="6">
        <f>'F100 Detail'!D201+'F200 Detail'!D201+'F500 Detail'!D201+'F600 Detail'!D201</f>
        <v>1742623</v>
      </c>
      <c r="E201" s="6">
        <f>'F100 Detail'!E201+'F200 Detail'!E201+'F500 Detail'!E201+'F600 Detail'!E201</f>
        <v>1711144</v>
      </c>
      <c r="F201" s="6">
        <f>'F100 Detail'!F201+'F200 Detail'!F201+'F500 Detail'!F201+'F600 Detail'!F201</f>
        <v>1711144</v>
      </c>
      <c r="G201" s="35"/>
    </row>
    <row r="202" spans="1:8" s="29" customFormat="1" ht="15.75">
      <c r="A202" s="8" t="s">
        <v>39</v>
      </c>
      <c r="B202" s="6">
        <f>'F100 Detail'!B202+'F200 Detail'!B202+'F500 Detail'!B202+'F600 Detail'!B202</f>
        <v>0</v>
      </c>
      <c r="C202" s="6">
        <f>'F100 Detail'!C202+'F200 Detail'!C202+'F500 Detail'!C202+'F600 Detail'!C202</f>
        <v>0</v>
      </c>
      <c r="D202" s="6">
        <f>'F100 Detail'!D202+'F200 Detail'!D202+'F500 Detail'!D202+'F600 Detail'!D202</f>
        <v>0</v>
      </c>
      <c r="E202" s="6">
        <f>'F100 Detail'!E202+'F200 Detail'!E202+'F500 Detail'!E202+'F600 Detail'!E202</f>
        <v>0</v>
      </c>
      <c r="F202" s="6">
        <f>'F100 Detail'!F202+'F200 Detail'!F202+'F500 Detail'!F202+'F600 Detail'!F202</f>
        <v>0</v>
      </c>
      <c r="G202" s="35"/>
    </row>
    <row r="203" spans="1:8" s="29" customFormat="1" ht="18">
      <c r="A203" s="8" t="s">
        <v>40</v>
      </c>
      <c r="B203" s="19">
        <f>'F100 Detail'!B203+'F200 Detail'!B203+'F500 Detail'!B203+'F600 Detail'!B203</f>
        <v>0</v>
      </c>
      <c r="C203" s="19">
        <f>'F100 Detail'!C203+'F200 Detail'!C203+'F500 Detail'!C203+'F600 Detail'!C203</f>
        <v>0</v>
      </c>
      <c r="D203" s="19">
        <f>'F100 Detail'!D203+'F200 Detail'!D203+'F500 Detail'!D203+'F600 Detail'!D203</f>
        <v>0</v>
      </c>
      <c r="E203" s="19">
        <f>'F100 Detail'!E203+'F200 Detail'!E203+'F500 Detail'!E203+'F600 Detail'!E203</f>
        <v>0</v>
      </c>
      <c r="F203" s="19">
        <f>'F100 Detail'!F203+'F200 Detail'!F203+'F500 Detail'!F203+'F600 Detail'!F203</f>
        <v>0</v>
      </c>
      <c r="G203" s="35"/>
    </row>
    <row r="204" spans="1:8" s="29" customFormat="1" ht="18">
      <c r="A204" s="8" t="s">
        <v>42</v>
      </c>
      <c r="B204" s="19">
        <f>'F100 Detail'!B204+'F200 Detail'!B204+'F500 Detail'!B204+'F600 Detail'!B204</f>
        <v>917927.98</v>
      </c>
      <c r="C204" s="19">
        <f>SUM(C198:C203)</f>
        <v>975286.97</v>
      </c>
      <c r="D204" s="19">
        <f>SUM(D198:D203)</f>
        <v>1742623</v>
      </c>
      <c r="E204" s="19">
        <f>SUM(E198:E203)</f>
        <v>1711144</v>
      </c>
      <c r="F204" s="19">
        <f>SUM(F198:F203)</f>
        <v>1711144</v>
      </c>
      <c r="G204" s="35"/>
    </row>
    <row r="205" spans="1:8" s="29" customFormat="1" ht="15.75">
      <c r="A205" s="34"/>
      <c r="B205" s="34"/>
      <c r="C205" s="34"/>
      <c r="D205" s="34"/>
      <c r="E205" s="34"/>
      <c r="F205" s="34"/>
      <c r="G205" s="35"/>
    </row>
    <row r="206" spans="1:8" s="4" customFormat="1" ht="15">
      <c r="A206" s="41" t="s">
        <v>83</v>
      </c>
      <c r="B206" s="6"/>
      <c r="C206" s="6"/>
      <c r="D206" s="6"/>
      <c r="E206" s="6"/>
      <c r="F206" s="6"/>
      <c r="H206" s="9"/>
    </row>
    <row r="207" spans="1:8" s="4" customFormat="1" ht="15">
      <c r="A207" s="8" t="s">
        <v>35</v>
      </c>
      <c r="B207" s="6">
        <f>'F100 Detail'!B207+'F200 Detail'!B207+'F500 Detail'!B207+'F600 Detail'!B207</f>
        <v>0</v>
      </c>
      <c r="C207" s="6">
        <f>'F100 Detail'!C207+'F200 Detail'!C207+'F500 Detail'!C207+'F600 Detail'!C207</f>
        <v>0</v>
      </c>
      <c r="D207" s="6">
        <f>'F100 Detail'!D207+'F200 Detail'!D207+'F500 Detail'!D207+'F600 Detail'!D207</f>
        <v>0</v>
      </c>
      <c r="E207" s="6">
        <f>'F100 Detail'!E207+'F200 Detail'!E207+'F500 Detail'!E207+'F600 Detail'!E207</f>
        <v>0</v>
      </c>
      <c r="F207" s="6">
        <f>'F100 Detail'!F207+'F200 Detail'!F207+'F500 Detail'!F207+'F600 Detail'!F207</f>
        <v>0</v>
      </c>
      <c r="H207" s="9"/>
    </row>
    <row r="208" spans="1:8" s="4" customFormat="1" ht="15">
      <c r="A208" s="8" t="s">
        <v>36</v>
      </c>
      <c r="B208" s="6">
        <f>'F100 Detail'!B208+'F200 Detail'!B208+'F500 Detail'!B208+'F600 Detail'!B208</f>
        <v>1186515.9099999999</v>
      </c>
      <c r="C208" s="6">
        <f>'F100 Detail'!C208+'F200 Detail'!C208+'F500 Detail'!C208+'F600 Detail'!C208</f>
        <v>1279806.92</v>
      </c>
      <c r="D208" s="6">
        <f>'F100 Detail'!D208+'F200 Detail'!D208+'F500 Detail'!D208+'F600 Detail'!D208</f>
        <v>1471898</v>
      </c>
      <c r="E208" s="6">
        <f>'F100 Detail'!E208+'F200 Detail'!E208+'F500 Detail'!E208+'F600 Detail'!E208</f>
        <v>1450000</v>
      </c>
      <c r="F208" s="6">
        <f>'F100 Detail'!F208+'F200 Detail'!F208+'F500 Detail'!F208+'F600 Detail'!F208</f>
        <v>1450000</v>
      </c>
      <c r="H208" s="9"/>
    </row>
    <row r="209" spans="1:8" s="4" customFormat="1" ht="15">
      <c r="A209" s="8" t="s">
        <v>37</v>
      </c>
      <c r="B209" s="6">
        <f>'F100 Detail'!B209+'F200 Detail'!B209+'F500 Detail'!B209+'F600 Detail'!B209</f>
        <v>0</v>
      </c>
      <c r="C209" s="6">
        <f>'F100 Detail'!C209+'F200 Detail'!C209+'F500 Detail'!C209+'F600 Detail'!C209</f>
        <v>0</v>
      </c>
      <c r="D209" s="6">
        <f>'F100 Detail'!D209+'F200 Detail'!D209+'F500 Detail'!D209+'F600 Detail'!D209</f>
        <v>0</v>
      </c>
      <c r="E209" s="6">
        <f>'F100 Detail'!E209+'F200 Detail'!E209+'F500 Detail'!E209+'F600 Detail'!E209</f>
        <v>0</v>
      </c>
      <c r="F209" s="6">
        <f>'F100 Detail'!F209+'F200 Detail'!F209+'F500 Detail'!F209+'F600 Detail'!F209</f>
        <v>0</v>
      </c>
      <c r="H209" s="9"/>
    </row>
    <row r="210" spans="1:8" s="4" customFormat="1" ht="15">
      <c r="A210" s="8" t="s">
        <v>38</v>
      </c>
      <c r="B210" s="6">
        <f>'F100 Detail'!B210+'F200 Detail'!B210+'F500 Detail'!B210+'F600 Detail'!B210</f>
        <v>0</v>
      </c>
      <c r="C210" s="6">
        <f>'F100 Detail'!C210+'F200 Detail'!C210+'F500 Detail'!C210+'F600 Detail'!C210</f>
        <v>0</v>
      </c>
      <c r="D210" s="6">
        <f>'F100 Detail'!D210+'F200 Detail'!D210+'F500 Detail'!D210+'F600 Detail'!D210</f>
        <v>0</v>
      </c>
      <c r="E210" s="6">
        <f>'F100 Detail'!E210+'F200 Detail'!E210+'F500 Detail'!E210+'F600 Detail'!E210</f>
        <v>0</v>
      </c>
      <c r="F210" s="6">
        <f>'F100 Detail'!F210+'F200 Detail'!F210+'F500 Detail'!F210+'F600 Detail'!F210</f>
        <v>0</v>
      </c>
      <c r="H210" s="9"/>
    </row>
    <row r="211" spans="1:8" s="4" customFormat="1" ht="15">
      <c r="A211" s="8" t="s">
        <v>39</v>
      </c>
      <c r="B211" s="6">
        <f>'F100 Detail'!B211+'F200 Detail'!B211+'F500 Detail'!B211+'F600 Detail'!B211</f>
        <v>0</v>
      </c>
      <c r="C211" s="6">
        <f>'F100 Detail'!C211+'F200 Detail'!C211+'F500 Detail'!C211+'F600 Detail'!C211</f>
        <v>0</v>
      </c>
      <c r="D211" s="6">
        <f>'F100 Detail'!D211+'F200 Detail'!D211+'F500 Detail'!D211+'F600 Detail'!D211</f>
        <v>0</v>
      </c>
      <c r="E211" s="6">
        <f>'F100 Detail'!E211+'F200 Detail'!E211+'F500 Detail'!E211+'F600 Detail'!E211</f>
        <v>0</v>
      </c>
      <c r="F211" s="6">
        <f>'F100 Detail'!F211+'F200 Detail'!F211+'F500 Detail'!F211+'F600 Detail'!F211</f>
        <v>0</v>
      </c>
      <c r="H211" s="9"/>
    </row>
    <row r="212" spans="1:8" s="4" customFormat="1" ht="17.25">
      <c r="A212" s="8" t="s">
        <v>40</v>
      </c>
      <c r="B212" s="19">
        <f>'F100 Detail'!B212+'F200 Detail'!B212+'F500 Detail'!B212+'F600 Detail'!B212</f>
        <v>0</v>
      </c>
      <c r="C212" s="19">
        <f>'F100 Detail'!C212+'F200 Detail'!C212+'F500 Detail'!C212+'F600 Detail'!C212</f>
        <v>0</v>
      </c>
      <c r="D212" s="19">
        <f>'F100 Detail'!D212+'F200 Detail'!D212+'F500 Detail'!D212+'F600 Detail'!D212</f>
        <v>0</v>
      </c>
      <c r="E212" s="19">
        <f>'F100 Detail'!E212+'F200 Detail'!E212+'F500 Detail'!E212+'F600 Detail'!E212</f>
        <v>0</v>
      </c>
      <c r="F212" s="19">
        <v>2000000</v>
      </c>
      <c r="H212" s="9"/>
    </row>
    <row r="213" spans="1:8" s="4" customFormat="1" ht="17.25">
      <c r="A213" s="8" t="s">
        <v>42</v>
      </c>
      <c r="B213" s="19">
        <f>'F100 Detail'!B213+'F200 Detail'!B213+'F500 Detail'!B213+'F600 Detail'!B213</f>
        <v>1186515.9099999999</v>
      </c>
      <c r="C213" s="19">
        <f>SUM(C207:C212)</f>
        <v>1279806.92</v>
      </c>
      <c r="D213" s="19">
        <f>SUM(D207:D212)</f>
        <v>1471898</v>
      </c>
      <c r="E213" s="19">
        <f>SUM(E207:E212)</f>
        <v>1450000</v>
      </c>
      <c r="F213" s="19">
        <f>SUM(F207:F212)</f>
        <v>3450000</v>
      </c>
      <c r="H213" s="9"/>
    </row>
    <row r="214" spans="1:8" s="4" customFormat="1" ht="15">
      <c r="A214" s="7"/>
      <c r="B214" s="6"/>
      <c r="C214" s="6"/>
      <c r="D214" s="6"/>
      <c r="E214" s="6"/>
      <c r="F214" s="6"/>
      <c r="H214" s="9"/>
    </row>
    <row r="215" spans="1:8" s="4" customFormat="1" ht="17.25">
      <c r="A215" s="7" t="s">
        <v>23</v>
      </c>
      <c r="B215" s="20">
        <f>B15+B24+B33+B42+B51+B60+B69+B78+B87+B96+B105+B114+B123+B132+B141+B150+B159+B168+B177+B186+B195+B204+B213+1</f>
        <v>327746898.25000012</v>
      </c>
      <c r="C215" s="20">
        <f>C15+C24+C33+C42+C51+C60+C69+C78+C87+C96+C105+C114+C123+C132+C141+C150+C159+C168+C177+C186+C195+C204+C213</f>
        <v>389776395.50000024</v>
      </c>
      <c r="D215" s="20">
        <f>D15+D24+D33+D42+D51+D60+D69+D78+D87+D96+D105+D114+D123+D132+D141+D150+D159+D168+D177+D186+D195+D204+D213</f>
        <v>412802316.81999999</v>
      </c>
      <c r="E215" s="20">
        <f>E15+E24+E33+E42+E51+E60+E69+E78+E87+E96+E105+E114+E123+E132+E141+E150+E159+E168+E177+E186+E195+E204+E213</f>
        <v>547016525.12000036</v>
      </c>
      <c r="F215" s="20">
        <f>F15+F24+F33+F42+F51+F60+F69+F78+F87+F96+F105+F114+F123+F132+F141+F150+F159+F168+F177+F186+F195+F204+F213</f>
        <v>545952556.10000002</v>
      </c>
      <c r="H215" s="8"/>
    </row>
    <row r="216" spans="1:8" s="4" customFormat="1" ht="15">
      <c r="A216" s="8"/>
      <c r="B216" s="17"/>
      <c r="C216" s="17"/>
      <c r="D216" s="17"/>
      <c r="E216" s="17"/>
      <c r="F216" s="17"/>
      <c r="H216" s="8"/>
    </row>
    <row r="217" spans="1:8" s="4" customFormat="1" ht="15">
      <c r="A217" s="8"/>
      <c r="B217" s="17"/>
      <c r="C217" s="17"/>
      <c r="D217" s="17"/>
      <c r="E217" s="17"/>
      <c r="F217" s="17"/>
      <c r="H217" s="8"/>
    </row>
    <row r="218" spans="1:8" s="4" customFormat="1" ht="15">
      <c r="A218" s="8"/>
      <c r="B218" s="17"/>
      <c r="C218" s="17"/>
      <c r="D218" s="17"/>
      <c r="E218" s="17"/>
      <c r="F218" s="17"/>
      <c r="H218" s="8"/>
    </row>
    <row r="219" spans="1:8" s="4" customFormat="1" ht="15">
      <c r="A219" s="7" t="s">
        <v>61</v>
      </c>
      <c r="B219" s="17"/>
      <c r="C219" s="17"/>
      <c r="D219" s="17"/>
      <c r="E219" s="17"/>
      <c r="F219" s="17"/>
    </row>
    <row r="220" spans="1:8" s="4" customFormat="1" ht="15">
      <c r="A220" s="8" t="s">
        <v>35</v>
      </c>
      <c r="B220" s="6">
        <f t="shared" ref="B220:B225" si="23">B9+B18+B27+B36+B45+B54+B63+B72+B81+B90+B99+B108+B117+B126+B135+B144+B153+B162+B171+B180+B189+B198+B207</f>
        <v>150161491.67000008</v>
      </c>
      <c r="C220" s="6">
        <f t="shared" ref="C220:F220" si="24">C9+C18+C27+C36+C45+C54+C63+C72+C81+C90+C99+C108+C117+C126+C135+C144+C153+C162+C171+C180+C189+C198+C207</f>
        <v>159168175.66000012</v>
      </c>
      <c r="D220" s="6">
        <f t="shared" si="24"/>
        <v>173812498.28</v>
      </c>
      <c r="E220" s="6">
        <f t="shared" si="24"/>
        <v>192644668.09000027</v>
      </c>
      <c r="F220" s="6">
        <f t="shared" si="24"/>
        <v>199186334.74000001</v>
      </c>
      <c r="H220" s="9"/>
    </row>
    <row r="221" spans="1:8" s="4" customFormat="1" ht="15">
      <c r="A221" s="8" t="s">
        <v>36</v>
      </c>
      <c r="B221" s="6">
        <f t="shared" si="23"/>
        <v>34631879.68</v>
      </c>
      <c r="C221" s="6">
        <f t="shared" ref="C221:F221" si="25">C10+C19+C28+C37+C46+C55+C64+C73+C82+C91+C100+C109+C118+C127+C136+C145+C154+C163+C172+C181+C190+C199+C208</f>
        <v>36075015.189999998</v>
      </c>
      <c r="D221" s="6">
        <f t="shared" si="25"/>
        <v>45050283</v>
      </c>
      <c r="E221" s="6">
        <f t="shared" si="25"/>
        <v>46943224.619999997</v>
      </c>
      <c r="F221" s="6">
        <f t="shared" si="25"/>
        <v>53015662.640000001</v>
      </c>
      <c r="H221" s="9"/>
    </row>
    <row r="222" spans="1:8" s="4" customFormat="1" ht="15">
      <c r="A222" s="8" t="s">
        <v>37</v>
      </c>
      <c r="B222" s="6">
        <f t="shared" si="23"/>
        <v>21187137.810000002</v>
      </c>
      <c r="C222" s="6">
        <f t="shared" ref="C222:F222" si="26">C11+C20+C29+C38+C47+C56+C65+C74+C83+C92+C101+C110+C119+C128+C137+C146+C155+C164+C173+C182+C191+C200+C209</f>
        <v>16926024.970000006</v>
      </c>
      <c r="D222" s="6">
        <f t="shared" si="26"/>
        <v>29812390.539999999</v>
      </c>
      <c r="E222" s="6">
        <f t="shared" si="26"/>
        <v>61486199.68</v>
      </c>
      <c r="F222" s="6">
        <f t="shared" si="26"/>
        <v>49501520.490000002</v>
      </c>
      <c r="H222" s="9"/>
    </row>
    <row r="223" spans="1:8" s="4" customFormat="1" ht="15">
      <c r="A223" s="8" t="s">
        <v>38</v>
      </c>
      <c r="B223" s="6">
        <f t="shared" si="23"/>
        <v>5503930.0099999998</v>
      </c>
      <c r="C223" s="6">
        <f t="shared" ref="C223:F223" si="27">C12+C21+C30+C39+C48+C57+C66+C75+C84+C93+C102+C111+C120+C129+C138+C147+C156+C165+C174+C183+C192+C201+C210</f>
        <v>5206519.93</v>
      </c>
      <c r="D223" s="6">
        <f t="shared" si="27"/>
        <v>5108153.7699999996</v>
      </c>
      <c r="E223" s="6">
        <f t="shared" si="27"/>
        <v>6102867.1200000001</v>
      </c>
      <c r="F223" s="6">
        <f t="shared" si="27"/>
        <v>9971548.1799999997</v>
      </c>
      <c r="H223" s="9"/>
    </row>
    <row r="224" spans="1:8" s="4" customFormat="1" ht="15">
      <c r="A224" s="8" t="s">
        <v>39</v>
      </c>
      <c r="B224" s="6">
        <f t="shared" si="23"/>
        <v>57833491.100000001</v>
      </c>
      <c r="C224" s="6">
        <f t="shared" ref="C224:F224" si="28">C13+C22+C31+C40+C49+C58+C67+C76+C85+C94+C103+C112+C121+C130+C139+C148+C157+C166+C175+C184+C193+C202+C211</f>
        <v>67230578.650000006</v>
      </c>
      <c r="D224" s="6">
        <f t="shared" si="28"/>
        <v>68060680</v>
      </c>
      <c r="E224" s="6">
        <f t="shared" si="28"/>
        <v>79464435</v>
      </c>
      <c r="F224" s="6">
        <f t="shared" si="28"/>
        <v>83484994</v>
      </c>
      <c r="H224" s="9"/>
    </row>
    <row r="225" spans="1:8" s="4" customFormat="1" ht="17.25">
      <c r="A225" s="8" t="s">
        <v>40</v>
      </c>
      <c r="B225" s="19">
        <f t="shared" si="23"/>
        <v>58428966.979999989</v>
      </c>
      <c r="C225" s="19">
        <f t="shared" ref="C225:F225" si="29">C14+C23+C32+C41+C50+C59+C68+C77+C86+C95+C104+C113+C122+C131+C140+C149+C158+C167+C176+C185+C194+C203+C212</f>
        <v>105170081.10000005</v>
      </c>
      <c r="D225" s="19">
        <f t="shared" si="29"/>
        <v>90958311.230000004</v>
      </c>
      <c r="E225" s="19">
        <f t="shared" si="29"/>
        <v>160375130.61000001</v>
      </c>
      <c r="F225" s="19">
        <f t="shared" si="29"/>
        <v>150792496.05000001</v>
      </c>
      <c r="H225" s="9"/>
    </row>
    <row r="226" spans="1:8" s="4" customFormat="1" ht="15">
      <c r="A226" s="8"/>
      <c r="B226" s="54"/>
      <c r="C226" s="54"/>
      <c r="D226" s="54"/>
      <c r="E226" s="54"/>
      <c r="F226" s="54"/>
      <c r="H226" s="9"/>
    </row>
    <row r="227" spans="1:8" s="4" customFormat="1" ht="15">
      <c r="A227" s="7" t="s">
        <v>23</v>
      </c>
      <c r="B227" s="54">
        <f>SUM(B220:B225)+1</f>
        <v>327746898.25000012</v>
      </c>
      <c r="C227" s="54">
        <f>SUM(C220:C225)-4</f>
        <v>389776391.50000012</v>
      </c>
      <c r="D227" s="54">
        <f>SUM(D220:D225)+2</f>
        <v>412802318.82000005</v>
      </c>
      <c r="E227" s="54">
        <f>SUM(E220:E225)</f>
        <v>547016525.12000036</v>
      </c>
      <c r="F227" s="54">
        <f>SUM(F220:F225)</f>
        <v>545952556.10000002</v>
      </c>
      <c r="H227" s="9"/>
    </row>
    <row r="228" spans="1:8">
      <c r="A228" s="2"/>
      <c r="B228" s="2"/>
      <c r="C228" s="2"/>
      <c r="D228" s="2"/>
      <c r="E228" s="2"/>
      <c r="F228" s="2"/>
      <c r="G228" s="2"/>
    </row>
    <row r="229" spans="1:8">
      <c r="A229" s="2"/>
      <c r="B229" s="2"/>
      <c r="C229" s="2"/>
      <c r="D229" s="2"/>
      <c r="E229" s="2"/>
      <c r="F229" s="2"/>
      <c r="G229" s="2"/>
    </row>
    <row r="230" spans="1:8">
      <c r="A230" s="2"/>
      <c r="B230" s="2"/>
      <c r="C230" s="2"/>
      <c r="D230" s="2"/>
      <c r="E230" s="2"/>
      <c r="F230" s="2"/>
      <c r="G230" s="2"/>
    </row>
    <row r="231" spans="1:8">
      <c r="A231" s="2"/>
      <c r="B231" s="2"/>
      <c r="C231" s="2"/>
      <c r="D231" s="2"/>
      <c r="E231" s="2"/>
      <c r="F231" s="2"/>
      <c r="G231" s="2"/>
    </row>
    <row r="232" spans="1:8">
      <c r="A232" s="2"/>
      <c r="B232" s="2"/>
      <c r="C232" s="2"/>
      <c r="D232" s="2"/>
      <c r="E232" s="2"/>
      <c r="F232" s="2"/>
      <c r="G232" s="2"/>
    </row>
    <row r="233" spans="1:8">
      <c r="A233" s="2"/>
      <c r="B233" s="2"/>
      <c r="C233" s="2"/>
      <c r="D233" s="2"/>
      <c r="E233" s="2"/>
      <c r="F233" s="2"/>
      <c r="G233" s="2"/>
    </row>
    <row r="234" spans="1:8">
      <c r="A234" s="2"/>
      <c r="B234" s="2"/>
      <c r="C234" s="2"/>
      <c r="D234" s="2"/>
      <c r="E234" s="2"/>
      <c r="F234" s="2"/>
      <c r="G234" s="2"/>
    </row>
    <row r="235" spans="1:8">
      <c r="A235" s="2"/>
      <c r="B235" s="2"/>
      <c r="C235" s="2"/>
      <c r="D235" s="2"/>
      <c r="E235" s="2"/>
      <c r="F235" s="2"/>
      <c r="G235" s="2"/>
    </row>
  </sheetData>
  <mergeCells count="4">
    <mergeCell ref="A1:F1"/>
    <mergeCell ref="A2:F2"/>
    <mergeCell ref="A3:F3"/>
    <mergeCell ref="A4:F4"/>
  </mergeCells>
  <phoneticPr fontId="13" type="noConversion"/>
  <printOptions horizontalCentered="1"/>
  <pageMargins left="0.02" right="0.04" top="0.03" bottom="0.03" header="0.01" footer="0.04"/>
  <pageSetup scale="94" fitToHeight="0" orientation="portrait" horizontalDpi="4294967295" verticalDpi="4294967295" r:id="rId1"/>
  <headerFooter alignWithMargins="0"/>
  <rowBreaks count="5" manualBreakCount="5">
    <brk id="43" max="5" man="1"/>
    <brk id="78" max="5" man="1"/>
    <brk id="114" max="5" man="1"/>
    <brk id="150" max="5" man="1"/>
    <brk id="186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1379"/>
  <sheetViews>
    <sheetView topLeftCell="A34" workbookViewId="0">
      <selection activeCell="K26" sqref="K26"/>
    </sheetView>
  </sheetViews>
  <sheetFormatPr defaultColWidth="5.7109375" defaultRowHeight="12.75"/>
  <cols>
    <col min="1" max="1" width="42.28515625" style="1" customWidth="1"/>
    <col min="2" max="6" width="12.28515625" style="1" customWidth="1"/>
    <col min="7" max="16384" width="5.7109375" style="1"/>
  </cols>
  <sheetData>
    <row r="1" spans="1:6" s="29" customFormat="1" ht="15.75">
      <c r="A1" s="207" t="s">
        <v>0</v>
      </c>
      <c r="B1" s="207"/>
      <c r="C1" s="207"/>
      <c r="D1" s="207"/>
      <c r="E1" s="207"/>
      <c r="F1" s="207"/>
    </row>
    <row r="2" spans="1:6" s="29" customFormat="1" ht="15.75">
      <c r="A2" s="208" t="s">
        <v>80</v>
      </c>
      <c r="B2" s="208"/>
      <c r="C2" s="208"/>
      <c r="D2" s="208"/>
      <c r="E2" s="208"/>
      <c r="F2" s="208"/>
    </row>
    <row r="3" spans="1:6" s="29" customFormat="1" ht="15.75">
      <c r="A3" s="207" t="s">
        <v>81</v>
      </c>
      <c r="B3" s="207"/>
      <c r="C3" s="207"/>
      <c r="D3" s="207"/>
      <c r="E3" s="207"/>
      <c r="F3" s="207"/>
    </row>
    <row r="4" spans="1:6" s="29" customFormat="1" ht="15.75">
      <c r="A4" s="206" t="s">
        <v>90</v>
      </c>
      <c r="B4" s="206"/>
      <c r="C4" s="206"/>
      <c r="D4" s="206"/>
      <c r="E4" s="206"/>
      <c r="F4" s="206"/>
    </row>
    <row r="5" spans="1:6" s="29" customFormat="1" ht="15.75">
      <c r="A5" s="33"/>
      <c r="B5" s="33"/>
      <c r="C5" s="33"/>
      <c r="D5" s="33"/>
      <c r="E5" s="33"/>
      <c r="F5" s="33"/>
    </row>
    <row r="6" spans="1:6" s="29" customFormat="1" ht="15.75">
      <c r="A6" s="31"/>
      <c r="B6" s="31"/>
      <c r="C6" s="33" t="s">
        <v>76</v>
      </c>
      <c r="D6" s="33" t="s">
        <v>74</v>
      </c>
      <c r="E6" s="33" t="s">
        <v>72</v>
      </c>
      <c r="F6" s="31"/>
    </row>
    <row r="7" spans="1:6" s="29" customFormat="1" ht="15.75">
      <c r="A7" s="32"/>
      <c r="B7" s="33" t="s">
        <v>63</v>
      </c>
      <c r="C7" s="33" t="s">
        <v>77</v>
      </c>
      <c r="D7" s="33" t="s">
        <v>75</v>
      </c>
      <c r="E7" s="33" t="s">
        <v>73</v>
      </c>
      <c r="F7" s="33" t="s">
        <v>64</v>
      </c>
    </row>
    <row r="8" spans="1:6" s="29" customFormat="1" ht="15.75">
      <c r="A8" s="34" t="s">
        <v>5</v>
      </c>
      <c r="B8" s="34" t="s">
        <v>62</v>
      </c>
      <c r="C8" s="34" t="s">
        <v>78</v>
      </c>
      <c r="D8" s="34" t="s">
        <v>78</v>
      </c>
      <c r="E8" s="34" t="s">
        <v>78</v>
      </c>
      <c r="F8" s="34" t="s">
        <v>78</v>
      </c>
    </row>
    <row r="9" spans="1:6" s="4" customFormat="1" ht="15">
      <c r="A9" s="7" t="s">
        <v>34</v>
      </c>
      <c r="B9" s="9"/>
      <c r="C9" s="9"/>
      <c r="D9" s="9"/>
      <c r="E9" s="9"/>
      <c r="F9" s="9"/>
    </row>
    <row r="10" spans="1:6" s="4" customFormat="1" ht="15">
      <c r="A10" s="8" t="s">
        <v>35</v>
      </c>
      <c r="B10" s="6">
        <f>'F100 Detail'!F9</f>
        <v>140719538</v>
      </c>
      <c r="C10" s="6">
        <f>'F200 Detail'!F9</f>
        <v>1079368.3999999999</v>
      </c>
      <c r="D10" s="6">
        <f>'F500 Detail'!F9</f>
        <v>0</v>
      </c>
      <c r="E10" s="6">
        <f>'F600 Detail'!F9</f>
        <v>0</v>
      </c>
      <c r="F10" s="6">
        <f t="shared" ref="F10:F15" si="0">SUM(B10:E10)</f>
        <v>141798906.40000001</v>
      </c>
    </row>
    <row r="11" spans="1:6" s="4" customFormat="1" ht="15">
      <c r="A11" s="8" t="s">
        <v>36</v>
      </c>
      <c r="B11" s="6">
        <f>'F100 Detail'!F10</f>
        <v>941108</v>
      </c>
      <c r="C11" s="6">
        <f>'F200 Detail'!F10</f>
        <v>636155.44999999995</v>
      </c>
      <c r="D11" s="6">
        <f>'F500 Detail'!F10</f>
        <v>0</v>
      </c>
      <c r="E11" s="6">
        <f>'F600 Detail'!F10</f>
        <v>0</v>
      </c>
      <c r="F11" s="6">
        <f t="shared" si="0"/>
        <v>1577263.45</v>
      </c>
    </row>
    <row r="12" spans="1:6" s="4" customFormat="1" ht="15">
      <c r="A12" s="8" t="s">
        <v>37</v>
      </c>
      <c r="B12" s="6">
        <f>'F100 Detail'!F11</f>
        <v>3691708</v>
      </c>
      <c r="C12" s="6">
        <f>'F200 Detail'!F11</f>
        <v>396965.43</v>
      </c>
      <c r="D12" s="6">
        <f>'F500 Detail'!F11</f>
        <v>0</v>
      </c>
      <c r="E12" s="6">
        <f>'F600 Detail'!F11</f>
        <v>276388</v>
      </c>
      <c r="F12" s="6">
        <f t="shared" si="0"/>
        <v>4365061.43</v>
      </c>
    </row>
    <row r="13" spans="1:6" s="4" customFormat="1" ht="15">
      <c r="A13" s="8" t="s">
        <v>38</v>
      </c>
      <c r="B13" s="6">
        <f>'F100 Detail'!F12</f>
        <v>345705</v>
      </c>
      <c r="C13" s="6">
        <f>'F200 Detail'!F12</f>
        <v>3174.43</v>
      </c>
      <c r="D13" s="6">
        <f>'F500 Detail'!F12</f>
        <v>0</v>
      </c>
      <c r="E13" s="6">
        <f>'F600 Detail'!F12</f>
        <v>0</v>
      </c>
      <c r="F13" s="6">
        <f t="shared" si="0"/>
        <v>348879.43</v>
      </c>
    </row>
    <row r="14" spans="1:6" s="4" customFormat="1" ht="15">
      <c r="A14" s="8" t="s">
        <v>39</v>
      </c>
      <c r="B14" s="6">
        <f>'F100 Detail'!F13</f>
        <v>0</v>
      </c>
      <c r="C14" s="6">
        <f>'F200 Detail'!F13</f>
        <v>0</v>
      </c>
      <c r="D14" s="6">
        <f>'F500 Detail'!F13</f>
        <v>0</v>
      </c>
      <c r="E14" s="6">
        <f>'F600 Detail'!F13</f>
        <v>0</v>
      </c>
      <c r="F14" s="6">
        <f t="shared" si="0"/>
        <v>0</v>
      </c>
    </row>
    <row r="15" spans="1:6" s="4" customFormat="1" ht="17.25">
      <c r="A15" s="8" t="s">
        <v>40</v>
      </c>
      <c r="B15" s="19">
        <f>'F100 Detail'!F14</f>
        <v>200</v>
      </c>
      <c r="C15" s="19">
        <f>'F200 Detail'!F14</f>
        <v>157</v>
      </c>
      <c r="D15" s="19">
        <f>'F500 Detail'!F14</f>
        <v>0</v>
      </c>
      <c r="E15" s="19">
        <f>'F600 Detail'!F14</f>
        <v>0</v>
      </c>
      <c r="F15" s="19">
        <f t="shared" si="0"/>
        <v>357</v>
      </c>
    </row>
    <row r="16" spans="1:6" s="4" customFormat="1" ht="17.25">
      <c r="A16" s="8" t="s">
        <v>42</v>
      </c>
      <c r="B16" s="19">
        <f>SUM(B10:B15)</f>
        <v>145698259</v>
      </c>
      <c r="C16" s="19">
        <f>SUM(C10:C15)</f>
        <v>2115820.71</v>
      </c>
      <c r="D16" s="19">
        <f>SUM(D10:D15)</f>
        <v>0</v>
      </c>
      <c r="E16" s="19">
        <f>SUM(E10:E15)</f>
        <v>276388</v>
      </c>
      <c r="F16" s="19">
        <f>SUM(F10:F15)</f>
        <v>148090467.71000001</v>
      </c>
    </row>
    <row r="17" spans="1:6" s="4" customFormat="1" ht="15">
      <c r="A17" s="7"/>
      <c r="B17" s="54"/>
      <c r="C17" s="54"/>
      <c r="D17" s="54"/>
      <c r="E17" s="54"/>
      <c r="F17" s="54"/>
    </row>
    <row r="18" spans="1:6" s="4" customFormat="1" ht="15">
      <c r="A18" s="7" t="s">
        <v>41</v>
      </c>
      <c r="B18" s="6"/>
      <c r="C18" s="6"/>
      <c r="D18" s="6"/>
      <c r="E18" s="6"/>
      <c r="F18" s="6"/>
    </row>
    <row r="19" spans="1:6" s="4" customFormat="1" ht="15">
      <c r="A19" s="8" t="s">
        <v>35</v>
      </c>
      <c r="B19" s="6">
        <f>'F100 Detail'!F18</f>
        <v>2236877</v>
      </c>
      <c r="C19" s="6">
        <f>'F200 Detail'!F18</f>
        <v>0</v>
      </c>
      <c r="D19" s="6">
        <f>'F500 Detail'!F18</f>
        <v>0</v>
      </c>
      <c r="E19" s="6">
        <f>'F600 Detail'!F18</f>
        <v>0</v>
      </c>
      <c r="F19" s="6">
        <f t="shared" ref="F19:F24" si="1">SUM(B19:E19)</f>
        <v>2236877</v>
      </c>
    </row>
    <row r="20" spans="1:6" s="4" customFormat="1" ht="15">
      <c r="A20" s="8" t="s">
        <v>36</v>
      </c>
      <c r="B20" s="6">
        <f>'F100 Detail'!F19</f>
        <v>66144</v>
      </c>
      <c r="C20" s="6">
        <f>'F200 Detail'!F19</f>
        <v>0</v>
      </c>
      <c r="D20" s="6">
        <f>'F500 Detail'!F19</f>
        <v>0</v>
      </c>
      <c r="E20" s="6">
        <f>'F600 Detail'!F19</f>
        <v>0</v>
      </c>
      <c r="F20" s="6">
        <f t="shared" si="1"/>
        <v>66144</v>
      </c>
    </row>
    <row r="21" spans="1:6" s="4" customFormat="1" ht="15">
      <c r="A21" s="8" t="s">
        <v>37</v>
      </c>
      <c r="B21" s="6">
        <f>'F100 Detail'!F20</f>
        <v>428898</v>
      </c>
      <c r="C21" s="6">
        <f>'F200 Detail'!F20</f>
        <v>5812.14</v>
      </c>
      <c r="D21" s="6">
        <f>'F500 Detail'!F20</f>
        <v>0</v>
      </c>
      <c r="E21" s="6">
        <f>'F600 Detail'!F20</f>
        <v>0</v>
      </c>
      <c r="F21" s="6">
        <f t="shared" si="1"/>
        <v>434710.14</v>
      </c>
    </row>
    <row r="22" spans="1:6" s="4" customFormat="1" ht="15">
      <c r="A22" s="8" t="s">
        <v>38</v>
      </c>
      <c r="B22" s="6">
        <f>'F100 Detail'!F21</f>
        <v>32396</v>
      </c>
      <c r="C22" s="6">
        <f>'F200 Detail'!F21</f>
        <v>0</v>
      </c>
      <c r="D22" s="6">
        <f>'F500 Detail'!F21</f>
        <v>0</v>
      </c>
      <c r="E22" s="6">
        <f>'F600 Detail'!F21</f>
        <v>0</v>
      </c>
      <c r="F22" s="6">
        <f t="shared" si="1"/>
        <v>32396</v>
      </c>
    </row>
    <row r="23" spans="1:6" s="4" customFormat="1" ht="15">
      <c r="A23" s="8" t="s">
        <v>39</v>
      </c>
      <c r="B23" s="6">
        <f>'F100 Detail'!F22</f>
        <v>0</v>
      </c>
      <c r="C23" s="6">
        <f>'F200 Detail'!F22</f>
        <v>0</v>
      </c>
      <c r="D23" s="6">
        <f>'F500 Detail'!F22</f>
        <v>0</v>
      </c>
      <c r="E23" s="6">
        <f>'F600 Detail'!F22</f>
        <v>0</v>
      </c>
      <c r="F23" s="6">
        <f t="shared" si="1"/>
        <v>0</v>
      </c>
    </row>
    <row r="24" spans="1:6" s="4" customFormat="1" ht="17.25">
      <c r="A24" s="8" t="s">
        <v>40</v>
      </c>
      <c r="B24" s="19">
        <f>'F100 Detail'!F23</f>
        <v>0</v>
      </c>
      <c r="C24" s="19">
        <f>'F200 Detail'!F23</f>
        <v>0</v>
      </c>
      <c r="D24" s="19">
        <f>'F500 Detail'!F23</f>
        <v>0</v>
      </c>
      <c r="E24" s="19">
        <f>'F600 Detail'!F23</f>
        <v>0</v>
      </c>
      <c r="F24" s="19">
        <f t="shared" si="1"/>
        <v>0</v>
      </c>
    </row>
    <row r="25" spans="1:6" s="4" customFormat="1" ht="17.25">
      <c r="A25" s="8" t="s">
        <v>42</v>
      </c>
      <c r="B25" s="19">
        <f>SUM(B19:B24)</f>
        <v>2764315</v>
      </c>
      <c r="C25" s="19">
        <f>SUM(C19:C24)</f>
        <v>5812.14</v>
      </c>
      <c r="D25" s="19">
        <f>SUM(D19:D24)</f>
        <v>0</v>
      </c>
      <c r="E25" s="19">
        <f>SUM(E19:E24)</f>
        <v>0</v>
      </c>
      <c r="F25" s="19">
        <f>SUM(F19:F24)</f>
        <v>2770127.14</v>
      </c>
    </row>
    <row r="26" spans="1:6" s="4" customFormat="1" ht="15">
      <c r="A26" s="7"/>
      <c r="B26" s="54"/>
      <c r="C26" s="54"/>
      <c r="D26" s="54"/>
      <c r="E26" s="54"/>
      <c r="F26" s="54"/>
    </row>
    <row r="27" spans="1:6" s="4" customFormat="1" ht="15">
      <c r="A27" s="7" t="s">
        <v>43</v>
      </c>
      <c r="B27" s="6"/>
      <c r="C27" s="6"/>
      <c r="D27" s="6"/>
      <c r="E27" s="6"/>
      <c r="F27" s="6"/>
    </row>
    <row r="28" spans="1:6" s="4" customFormat="1" ht="15">
      <c r="A28" s="8" t="s">
        <v>35</v>
      </c>
      <c r="B28" s="6">
        <f>'F100 Detail'!F27</f>
        <v>5219136</v>
      </c>
      <c r="C28" s="6">
        <f>'F200 Detail'!F27</f>
        <v>169764.55</v>
      </c>
      <c r="D28" s="6">
        <f>'F500 Detail'!F27</f>
        <v>0</v>
      </c>
      <c r="E28" s="6">
        <f>'F600 Detail'!F27</f>
        <v>0</v>
      </c>
      <c r="F28" s="6">
        <f t="shared" ref="F28:F33" si="2">SUM(B28:E28)</f>
        <v>5388900.5499999998</v>
      </c>
    </row>
    <row r="29" spans="1:6" s="4" customFormat="1" ht="15">
      <c r="A29" s="8" t="s">
        <v>36</v>
      </c>
      <c r="B29" s="6">
        <f>'F100 Detail'!F28</f>
        <v>683473</v>
      </c>
      <c r="C29" s="6">
        <f>'F200 Detail'!F28</f>
        <v>118249.61</v>
      </c>
      <c r="D29" s="6">
        <f>'F500 Detail'!F28</f>
        <v>0</v>
      </c>
      <c r="E29" s="6">
        <f>'F600 Detail'!F28</f>
        <v>0</v>
      </c>
      <c r="F29" s="6">
        <f t="shared" si="2"/>
        <v>801722.61</v>
      </c>
    </row>
    <row r="30" spans="1:6" s="4" customFormat="1" ht="15">
      <c r="A30" s="8" t="s">
        <v>37</v>
      </c>
      <c r="B30" s="6">
        <f>'F100 Detail'!F29</f>
        <v>298867</v>
      </c>
      <c r="C30" s="6">
        <f>'F200 Detail'!F29</f>
        <v>34691</v>
      </c>
      <c r="D30" s="6">
        <f>'F500 Detail'!F29</f>
        <v>0</v>
      </c>
      <c r="E30" s="6">
        <f>'F600 Detail'!F29</f>
        <v>0</v>
      </c>
      <c r="F30" s="6">
        <f t="shared" si="2"/>
        <v>333558</v>
      </c>
    </row>
    <row r="31" spans="1:6" s="4" customFormat="1" ht="15">
      <c r="A31" s="8" t="s">
        <v>38</v>
      </c>
      <c r="B31" s="6">
        <f>'F100 Detail'!F30</f>
        <v>815821</v>
      </c>
      <c r="C31" s="6">
        <f>'F200 Detail'!F30</f>
        <v>22436.22</v>
      </c>
      <c r="D31" s="6">
        <f>'F500 Detail'!F30</f>
        <v>0</v>
      </c>
      <c r="E31" s="6">
        <f>'F600 Detail'!F30</f>
        <v>0</v>
      </c>
      <c r="F31" s="6">
        <f t="shared" si="2"/>
        <v>838257.22</v>
      </c>
    </row>
    <row r="32" spans="1:6" s="4" customFormat="1" ht="15">
      <c r="A32" s="8" t="s">
        <v>39</v>
      </c>
      <c r="B32" s="6">
        <f>'F100 Detail'!F31</f>
        <v>0</v>
      </c>
      <c r="C32" s="6">
        <f>'F200 Detail'!F31</f>
        <v>0</v>
      </c>
      <c r="D32" s="6">
        <f>'F500 Detail'!F31</f>
        <v>0</v>
      </c>
      <c r="E32" s="6">
        <f>'F600 Detail'!F31</f>
        <v>0</v>
      </c>
      <c r="F32" s="6">
        <f t="shared" si="2"/>
        <v>0</v>
      </c>
    </row>
    <row r="33" spans="1:6" s="4" customFormat="1" ht="17.25">
      <c r="A33" s="8" t="s">
        <v>40</v>
      </c>
      <c r="B33" s="19">
        <f>'F100 Detail'!F32</f>
        <v>0</v>
      </c>
      <c r="C33" s="19">
        <f>'F200 Detail'!F32</f>
        <v>0</v>
      </c>
      <c r="D33" s="19">
        <f>'F500 Detail'!F32</f>
        <v>0</v>
      </c>
      <c r="E33" s="19">
        <f>'F600 Detail'!F32</f>
        <v>0</v>
      </c>
      <c r="F33" s="19">
        <f t="shared" si="2"/>
        <v>0</v>
      </c>
    </row>
    <row r="34" spans="1:6" s="4" customFormat="1" ht="17.25">
      <c r="A34" s="8" t="s">
        <v>42</v>
      </c>
      <c r="B34" s="19">
        <f>SUM(B28:B33)</f>
        <v>7017297</v>
      </c>
      <c r="C34" s="19">
        <f>SUM(C28:C33)</f>
        <v>345141.38</v>
      </c>
      <c r="D34" s="19">
        <f>SUM(D28:D33)</f>
        <v>0</v>
      </c>
      <c r="E34" s="19">
        <f>SUM(E28:E33)</f>
        <v>0</v>
      </c>
      <c r="F34" s="19">
        <f>SUM(F28:F33)</f>
        <v>7362438.3799999999</v>
      </c>
    </row>
    <row r="35" spans="1:6" s="4" customFormat="1" ht="15">
      <c r="A35" s="7"/>
      <c r="B35" s="54"/>
      <c r="C35" s="54"/>
      <c r="D35" s="54"/>
      <c r="E35" s="54"/>
      <c r="F35" s="54"/>
    </row>
    <row r="36" spans="1:6" s="4" customFormat="1" ht="15">
      <c r="A36" s="7" t="s">
        <v>44</v>
      </c>
      <c r="B36" s="6"/>
      <c r="C36" s="6"/>
      <c r="D36" s="6"/>
      <c r="E36" s="6"/>
      <c r="F36" s="6"/>
    </row>
    <row r="37" spans="1:6" s="4" customFormat="1" ht="15">
      <c r="A37" s="8" t="s">
        <v>35</v>
      </c>
      <c r="B37" s="6">
        <f>'F100 Detail'!F36</f>
        <v>2176480</v>
      </c>
      <c r="C37" s="6">
        <f>'F200 Detail'!F36</f>
        <v>0</v>
      </c>
      <c r="D37" s="6">
        <f>'F500 Detail'!F36</f>
        <v>0</v>
      </c>
      <c r="E37" s="6">
        <f>'F600 Detail'!F36</f>
        <v>0</v>
      </c>
      <c r="F37" s="6">
        <f t="shared" ref="F37:F42" si="3">SUM(B37:E37)</f>
        <v>2176480</v>
      </c>
    </row>
    <row r="38" spans="1:6" s="4" customFormat="1" ht="15">
      <c r="A38" s="8" t="s">
        <v>36</v>
      </c>
      <c r="B38" s="6">
        <f>'F100 Detail'!F37</f>
        <v>6050</v>
      </c>
      <c r="C38" s="6">
        <f>'F200 Detail'!F37</f>
        <v>0</v>
      </c>
      <c r="D38" s="6">
        <f>'F500 Detail'!F37</f>
        <v>0</v>
      </c>
      <c r="E38" s="6">
        <f>'F600 Detail'!F37</f>
        <v>0</v>
      </c>
      <c r="F38" s="6">
        <f t="shared" si="3"/>
        <v>6050</v>
      </c>
    </row>
    <row r="39" spans="1:6" s="4" customFormat="1" ht="15">
      <c r="A39" s="8" t="s">
        <v>37</v>
      </c>
      <c r="B39" s="6">
        <f>'F100 Detail'!F38</f>
        <v>76079</v>
      </c>
      <c r="C39" s="6">
        <f>'F200 Detail'!F38</f>
        <v>0</v>
      </c>
      <c r="D39" s="6">
        <f>'F500 Detail'!F38</f>
        <v>0</v>
      </c>
      <c r="E39" s="6">
        <f>'F600 Detail'!F38</f>
        <v>0</v>
      </c>
      <c r="F39" s="6">
        <f t="shared" si="3"/>
        <v>76079</v>
      </c>
    </row>
    <row r="40" spans="1:6" s="4" customFormat="1" ht="15">
      <c r="A40" s="8" t="s">
        <v>38</v>
      </c>
      <c r="B40" s="6">
        <f>'F100 Detail'!F39</f>
        <v>44347</v>
      </c>
      <c r="C40" s="6">
        <f>'F200 Detail'!F39</f>
        <v>0</v>
      </c>
      <c r="D40" s="6">
        <f>'F500 Detail'!F39</f>
        <v>0</v>
      </c>
      <c r="E40" s="6">
        <f>'F600 Detail'!F39</f>
        <v>0</v>
      </c>
      <c r="F40" s="6">
        <f t="shared" si="3"/>
        <v>44347</v>
      </c>
    </row>
    <row r="41" spans="1:6" s="4" customFormat="1" ht="15">
      <c r="A41" s="8" t="s">
        <v>39</v>
      </c>
      <c r="B41" s="6">
        <f>'F100 Detail'!F40</f>
        <v>0</v>
      </c>
      <c r="C41" s="6">
        <f>'F200 Detail'!F40</f>
        <v>0</v>
      </c>
      <c r="D41" s="6">
        <f>'F500 Detail'!F40</f>
        <v>0</v>
      </c>
      <c r="E41" s="6">
        <f>'F600 Detail'!F40</f>
        <v>0</v>
      </c>
      <c r="F41" s="6">
        <f t="shared" si="3"/>
        <v>0</v>
      </c>
    </row>
    <row r="42" spans="1:6" s="4" customFormat="1" ht="17.25">
      <c r="A42" s="8" t="s">
        <v>40</v>
      </c>
      <c r="B42" s="19">
        <f>'F100 Detail'!F41</f>
        <v>0</v>
      </c>
      <c r="C42" s="19">
        <f>'F200 Detail'!F41</f>
        <v>0</v>
      </c>
      <c r="D42" s="19">
        <f>'F500 Detail'!F41</f>
        <v>0</v>
      </c>
      <c r="E42" s="19">
        <f>'F600 Detail'!F41</f>
        <v>0</v>
      </c>
      <c r="F42" s="19">
        <f t="shared" si="3"/>
        <v>0</v>
      </c>
    </row>
    <row r="43" spans="1:6" s="4" customFormat="1" ht="17.25">
      <c r="A43" s="8" t="s">
        <v>42</v>
      </c>
      <c r="B43" s="19">
        <f>SUM(B37:B42)</f>
        <v>2302956</v>
      </c>
      <c r="C43" s="19">
        <f>SUM(C37:C42)</f>
        <v>0</v>
      </c>
      <c r="D43" s="19">
        <f>SUM(D37:D42)</f>
        <v>0</v>
      </c>
      <c r="E43" s="19">
        <f>SUM(E37:E42)</f>
        <v>0</v>
      </c>
      <c r="F43" s="19">
        <f>SUM(F37:F42)</f>
        <v>2302956</v>
      </c>
    </row>
    <row r="44" spans="1:6" s="4" customFormat="1" ht="15">
      <c r="A44" s="7"/>
      <c r="B44" s="54"/>
      <c r="C44" s="54"/>
      <c r="D44" s="54"/>
      <c r="E44" s="54"/>
      <c r="F44" s="54"/>
    </row>
    <row r="45" spans="1:6" s="4" customFormat="1" ht="15">
      <c r="A45" s="7" t="s">
        <v>45</v>
      </c>
      <c r="B45" s="6"/>
      <c r="C45" s="6"/>
      <c r="D45" s="6"/>
      <c r="E45" s="6"/>
      <c r="F45" s="6"/>
    </row>
    <row r="46" spans="1:6" s="4" customFormat="1" ht="15">
      <c r="A46" s="8" t="s">
        <v>35</v>
      </c>
      <c r="B46" s="6">
        <f>'F100 Detail'!F45</f>
        <v>13801576</v>
      </c>
      <c r="C46" s="6">
        <f>'F200 Detail'!F45</f>
        <v>0</v>
      </c>
      <c r="D46" s="6">
        <f>'F500 Detail'!F45</f>
        <v>0</v>
      </c>
      <c r="E46" s="6">
        <f>'F600 Detail'!F45</f>
        <v>0</v>
      </c>
      <c r="F46" s="6">
        <f t="shared" ref="F46:F51" si="4">SUM(B46:E46)</f>
        <v>13801576</v>
      </c>
    </row>
    <row r="47" spans="1:6" s="4" customFormat="1" ht="15">
      <c r="A47" s="8" t="s">
        <v>36</v>
      </c>
      <c r="B47" s="6">
        <f>'F100 Detail'!F46</f>
        <v>152753</v>
      </c>
      <c r="C47" s="6">
        <f>'F200 Detail'!F46</f>
        <v>0</v>
      </c>
      <c r="D47" s="6">
        <f>'F500 Detail'!F46</f>
        <v>0</v>
      </c>
      <c r="E47" s="6">
        <f>'F600 Detail'!F46</f>
        <v>0</v>
      </c>
      <c r="F47" s="6">
        <f t="shared" si="4"/>
        <v>152753</v>
      </c>
    </row>
    <row r="48" spans="1:6" s="4" customFormat="1" ht="15">
      <c r="A48" s="8" t="s">
        <v>37</v>
      </c>
      <c r="B48" s="6">
        <f>'F100 Detail'!F47</f>
        <v>86770</v>
      </c>
      <c r="C48" s="6">
        <f>'F200 Detail'!F47</f>
        <v>3534</v>
      </c>
      <c r="D48" s="6">
        <f>'F500 Detail'!F47</f>
        <v>0</v>
      </c>
      <c r="E48" s="6">
        <f>'F600 Detail'!F47</f>
        <v>0</v>
      </c>
      <c r="F48" s="6">
        <f t="shared" si="4"/>
        <v>90304</v>
      </c>
    </row>
    <row r="49" spans="1:6" s="4" customFormat="1" ht="15">
      <c r="A49" s="8" t="s">
        <v>38</v>
      </c>
      <c r="B49" s="6">
        <f>'F100 Detail'!F48</f>
        <v>314786</v>
      </c>
      <c r="C49" s="6">
        <f>'F200 Detail'!F48</f>
        <v>0</v>
      </c>
      <c r="D49" s="6">
        <f>'F500 Detail'!F48</f>
        <v>0</v>
      </c>
      <c r="E49" s="6">
        <f>'F600 Detail'!F48</f>
        <v>0</v>
      </c>
      <c r="F49" s="6">
        <f t="shared" si="4"/>
        <v>314786</v>
      </c>
    </row>
    <row r="50" spans="1:6" s="4" customFormat="1" ht="15">
      <c r="A50" s="8" t="s">
        <v>39</v>
      </c>
      <c r="B50" s="6">
        <f>'F100 Detail'!F49</f>
        <v>0</v>
      </c>
      <c r="C50" s="6">
        <f>'F200 Detail'!F49</f>
        <v>0</v>
      </c>
      <c r="D50" s="6">
        <f>'F500 Detail'!F49</f>
        <v>0</v>
      </c>
      <c r="E50" s="6">
        <f>'F600 Detail'!F49</f>
        <v>0</v>
      </c>
      <c r="F50" s="6">
        <f t="shared" si="4"/>
        <v>0</v>
      </c>
    </row>
    <row r="51" spans="1:6" s="4" customFormat="1" ht="17.25">
      <c r="A51" s="8" t="s">
        <v>40</v>
      </c>
      <c r="B51" s="19">
        <f>'F100 Detail'!F50</f>
        <v>0</v>
      </c>
      <c r="C51" s="19">
        <f>'F200 Detail'!F50</f>
        <v>0</v>
      </c>
      <c r="D51" s="19">
        <f>'F500 Detail'!F50</f>
        <v>0</v>
      </c>
      <c r="E51" s="19">
        <f>'F600 Detail'!F50</f>
        <v>0</v>
      </c>
      <c r="F51" s="19">
        <f t="shared" si="4"/>
        <v>0</v>
      </c>
    </row>
    <row r="52" spans="1:6" s="4" customFormat="1" ht="17.25">
      <c r="A52" s="8" t="s">
        <v>42</v>
      </c>
      <c r="B52" s="19">
        <f>SUM(B46:B51)</f>
        <v>14355885</v>
      </c>
      <c r="C52" s="19">
        <f>SUM(C46:C51)</f>
        <v>3534</v>
      </c>
      <c r="D52" s="19">
        <f>SUM(D46:D51)</f>
        <v>0</v>
      </c>
      <c r="E52" s="19">
        <f>SUM(E46:E51)</f>
        <v>0</v>
      </c>
      <c r="F52" s="19">
        <f>SUM(F46:F51)</f>
        <v>14359419</v>
      </c>
    </row>
    <row r="53" spans="1:6" s="4" customFormat="1" ht="17.25">
      <c r="A53" s="8"/>
      <c r="B53" s="19"/>
      <c r="C53" s="19"/>
      <c r="D53" s="19"/>
      <c r="E53" s="19"/>
      <c r="F53" s="19"/>
    </row>
    <row r="54" spans="1:6" s="4" customFormat="1" ht="15">
      <c r="A54" s="7" t="s">
        <v>46</v>
      </c>
      <c r="B54" s="6"/>
      <c r="C54" s="6"/>
      <c r="D54" s="6"/>
      <c r="E54" s="6"/>
      <c r="F54" s="6"/>
    </row>
    <row r="55" spans="1:6" s="4" customFormat="1" ht="15">
      <c r="A55" s="8" t="s">
        <v>35</v>
      </c>
      <c r="B55" s="6">
        <f>'F100 Detail'!F54</f>
        <v>8286970</v>
      </c>
      <c r="C55" s="6">
        <f>'F200 Detail'!F54</f>
        <v>2593750.79</v>
      </c>
      <c r="D55" s="6">
        <f>'F500 Detail'!F54</f>
        <v>0</v>
      </c>
      <c r="E55" s="6">
        <f>'F600 Detail'!F54</f>
        <v>0</v>
      </c>
      <c r="F55" s="6">
        <f t="shared" ref="F55:F60" si="5">SUM(B55:E55)</f>
        <v>10880720.789999999</v>
      </c>
    </row>
    <row r="56" spans="1:6" s="4" customFormat="1" ht="15">
      <c r="A56" s="8" t="s">
        <v>36</v>
      </c>
      <c r="B56" s="6">
        <f>'F100 Detail'!F55</f>
        <v>126115</v>
      </c>
      <c r="C56" s="6">
        <f>'F200 Detail'!F55</f>
        <v>19164.580000000002</v>
      </c>
      <c r="D56" s="6">
        <f>'F500 Detail'!F55</f>
        <v>0</v>
      </c>
      <c r="E56" s="6">
        <f>'F600 Detail'!F55</f>
        <v>0</v>
      </c>
      <c r="F56" s="6">
        <f t="shared" si="5"/>
        <v>145279.58000000002</v>
      </c>
    </row>
    <row r="57" spans="1:6" s="4" customFormat="1" ht="15">
      <c r="A57" s="8" t="s">
        <v>37</v>
      </c>
      <c r="B57" s="6">
        <f>'F100 Detail'!F56</f>
        <v>519501</v>
      </c>
      <c r="C57" s="6">
        <f>'F200 Detail'!F56</f>
        <v>5632</v>
      </c>
      <c r="D57" s="6">
        <f>'F500 Detail'!F56</f>
        <v>0</v>
      </c>
      <c r="E57" s="6">
        <f>'F600 Detail'!F56</f>
        <v>0</v>
      </c>
      <c r="F57" s="6">
        <f t="shared" si="5"/>
        <v>525133</v>
      </c>
    </row>
    <row r="58" spans="1:6" s="4" customFormat="1" ht="15">
      <c r="A58" s="8" t="s">
        <v>38</v>
      </c>
      <c r="B58" s="6">
        <f>'F100 Detail'!F57</f>
        <v>58638</v>
      </c>
      <c r="C58" s="6">
        <f>'F200 Detail'!F57</f>
        <v>4282</v>
      </c>
      <c r="D58" s="6">
        <f>'F500 Detail'!F57</f>
        <v>0</v>
      </c>
      <c r="E58" s="6">
        <f>'F600 Detail'!F57</f>
        <v>0</v>
      </c>
      <c r="F58" s="6">
        <f t="shared" si="5"/>
        <v>62920</v>
      </c>
    </row>
    <row r="59" spans="1:6" s="4" customFormat="1" ht="15">
      <c r="A59" s="8" t="s">
        <v>39</v>
      </c>
      <c r="B59" s="6">
        <f>'F100 Detail'!F58</f>
        <v>0</v>
      </c>
      <c r="C59" s="6">
        <f>'F200 Detail'!F58</f>
        <v>0</v>
      </c>
      <c r="D59" s="6">
        <f>'F500 Detail'!F58</f>
        <v>0</v>
      </c>
      <c r="E59" s="6">
        <f>'F600 Detail'!F58</f>
        <v>0</v>
      </c>
      <c r="F59" s="6">
        <f t="shared" si="5"/>
        <v>0</v>
      </c>
    </row>
    <row r="60" spans="1:6" s="4" customFormat="1" ht="17.25">
      <c r="A60" s="8" t="s">
        <v>40</v>
      </c>
      <c r="B60" s="19">
        <f>'F100 Detail'!F59</f>
        <v>0</v>
      </c>
      <c r="C60" s="19">
        <f>'F200 Detail'!F59</f>
        <v>0</v>
      </c>
      <c r="D60" s="19">
        <f>'F500 Detail'!F59</f>
        <v>0</v>
      </c>
      <c r="E60" s="19">
        <f>'F600 Detail'!F59</f>
        <v>0</v>
      </c>
      <c r="F60" s="19">
        <f t="shared" si="5"/>
        <v>0</v>
      </c>
    </row>
    <row r="61" spans="1:6" s="4" customFormat="1" ht="17.25">
      <c r="A61" s="8" t="s">
        <v>42</v>
      </c>
      <c r="B61" s="19">
        <f>SUM(B55:B60)</f>
        <v>8991224</v>
      </c>
      <c r="C61" s="19">
        <f>SUM(C55:C60)</f>
        <v>2622829.37</v>
      </c>
      <c r="D61" s="19">
        <f>SUM(D55:D60)</f>
        <v>0</v>
      </c>
      <c r="E61" s="19">
        <f>SUM(E55:E60)</f>
        <v>0</v>
      </c>
      <c r="F61" s="19">
        <f>SUM(F55:F60)</f>
        <v>11614053.369999999</v>
      </c>
    </row>
    <row r="62" spans="1:6" s="4" customFormat="1" ht="15">
      <c r="A62" s="7"/>
      <c r="B62" s="54"/>
      <c r="C62" s="54"/>
      <c r="D62" s="54"/>
      <c r="E62" s="54"/>
      <c r="F62" s="54"/>
    </row>
    <row r="63" spans="1:6" s="4" customFormat="1" ht="15">
      <c r="A63" s="7" t="s">
        <v>47</v>
      </c>
      <c r="B63" s="6"/>
      <c r="C63" s="6"/>
      <c r="D63" s="6"/>
      <c r="E63" s="6"/>
      <c r="F63" s="6"/>
    </row>
    <row r="64" spans="1:6" s="4" customFormat="1" ht="15">
      <c r="A64" s="8" t="s">
        <v>35</v>
      </c>
      <c r="B64" s="6">
        <f>'F100 Detail'!F63</f>
        <v>215317</v>
      </c>
      <c r="C64" s="6">
        <f>'F200 Detail'!F63</f>
        <v>0</v>
      </c>
      <c r="D64" s="6">
        <f>'F500 Detail'!F63</f>
        <v>0</v>
      </c>
      <c r="E64" s="6">
        <f>'F600 Detail'!F63</f>
        <v>0</v>
      </c>
      <c r="F64" s="6">
        <f t="shared" ref="F64:F69" si="6">SUM(B64:E64)</f>
        <v>215317</v>
      </c>
    </row>
    <row r="65" spans="1:6" s="4" customFormat="1" ht="15">
      <c r="A65" s="8" t="s">
        <v>36</v>
      </c>
      <c r="B65" s="6">
        <f>'F100 Detail'!F64</f>
        <v>118994</v>
      </c>
      <c r="C65" s="6">
        <f>'F200 Detail'!F64</f>
        <v>96000</v>
      </c>
      <c r="D65" s="6">
        <f>'F500 Detail'!F64</f>
        <v>0</v>
      </c>
      <c r="E65" s="6">
        <f>'F600 Detail'!F64</f>
        <v>0</v>
      </c>
      <c r="F65" s="6">
        <f t="shared" si="6"/>
        <v>214994</v>
      </c>
    </row>
    <row r="66" spans="1:6" s="4" customFormat="1" ht="15">
      <c r="A66" s="8" t="s">
        <v>37</v>
      </c>
      <c r="B66" s="6">
        <f>'F100 Detail'!F65</f>
        <v>0</v>
      </c>
      <c r="C66" s="6">
        <f>'F200 Detail'!F65</f>
        <v>465.26</v>
      </c>
      <c r="D66" s="6">
        <f>'F500 Detail'!F65</f>
        <v>0</v>
      </c>
      <c r="E66" s="6">
        <f>'F600 Detail'!F65</f>
        <v>0</v>
      </c>
      <c r="F66" s="6">
        <f t="shared" si="6"/>
        <v>465.26</v>
      </c>
    </row>
    <row r="67" spans="1:6" s="4" customFormat="1" ht="15">
      <c r="A67" s="8" t="s">
        <v>38</v>
      </c>
      <c r="B67" s="6">
        <f>'F100 Detail'!F66</f>
        <v>0</v>
      </c>
      <c r="C67" s="6">
        <f>'F200 Detail'!F66</f>
        <v>0</v>
      </c>
      <c r="D67" s="6">
        <f>'F500 Detail'!F66</f>
        <v>0</v>
      </c>
      <c r="E67" s="6">
        <f>'F600 Detail'!F66</f>
        <v>0</v>
      </c>
      <c r="F67" s="6">
        <f t="shared" si="6"/>
        <v>0</v>
      </c>
    </row>
    <row r="68" spans="1:6" s="4" customFormat="1" ht="15">
      <c r="A68" s="8" t="s">
        <v>39</v>
      </c>
      <c r="B68" s="6">
        <f>'F100 Detail'!F67</f>
        <v>0</v>
      </c>
      <c r="C68" s="6">
        <f>'F200 Detail'!F67</f>
        <v>0</v>
      </c>
      <c r="D68" s="6">
        <f>'F500 Detail'!F67</f>
        <v>0</v>
      </c>
      <c r="E68" s="6">
        <f>'F600 Detail'!F67</f>
        <v>0</v>
      </c>
      <c r="F68" s="6">
        <f t="shared" si="6"/>
        <v>0</v>
      </c>
    </row>
    <row r="69" spans="1:6" s="4" customFormat="1" ht="17.25">
      <c r="A69" s="8" t="s">
        <v>40</v>
      </c>
      <c r="B69" s="19">
        <f>'F100 Detail'!F68</f>
        <v>0</v>
      </c>
      <c r="C69" s="19">
        <f>'F200 Detail'!F68</f>
        <v>0</v>
      </c>
      <c r="D69" s="19">
        <f>'F500 Detail'!F68</f>
        <v>0</v>
      </c>
      <c r="E69" s="19">
        <f>'F600 Detail'!F68</f>
        <v>0</v>
      </c>
      <c r="F69" s="19">
        <f t="shared" si="6"/>
        <v>0</v>
      </c>
    </row>
    <row r="70" spans="1:6" s="4" customFormat="1" ht="17.25">
      <c r="A70" s="8" t="s">
        <v>42</v>
      </c>
      <c r="B70" s="19">
        <f>SUM(B64:B69)</f>
        <v>334311</v>
      </c>
      <c r="C70" s="19">
        <f>SUM(C64:C69)</f>
        <v>96465.26</v>
      </c>
      <c r="D70" s="19">
        <f>SUM(D64:D69)</f>
        <v>0</v>
      </c>
      <c r="E70" s="19">
        <f>SUM(E64:E69)</f>
        <v>0</v>
      </c>
      <c r="F70" s="19">
        <f>SUM(F64:F69)</f>
        <v>430776.26</v>
      </c>
    </row>
    <row r="71" spans="1:6" s="4" customFormat="1" ht="15">
      <c r="A71" s="7"/>
      <c r="B71" s="54"/>
      <c r="C71" s="54"/>
      <c r="D71" s="54"/>
      <c r="E71" s="54"/>
      <c r="F71" s="54"/>
    </row>
    <row r="72" spans="1:6" s="4" customFormat="1" ht="15">
      <c r="A72" s="7" t="s">
        <v>48</v>
      </c>
      <c r="B72" s="6"/>
      <c r="C72" s="6"/>
      <c r="D72" s="6"/>
      <c r="E72" s="6"/>
      <c r="F72" s="6"/>
    </row>
    <row r="73" spans="1:6" s="4" customFormat="1" ht="15">
      <c r="A73" s="8" t="s">
        <v>35</v>
      </c>
      <c r="B73" s="6">
        <f>'F100 Detail'!F72</f>
        <v>2483138</v>
      </c>
      <c r="C73" s="6">
        <f>'F200 Detail'!F72</f>
        <v>0</v>
      </c>
      <c r="D73" s="6">
        <f>'F500 Detail'!F72</f>
        <v>0</v>
      </c>
      <c r="E73" s="6">
        <f>'F600 Detail'!F72</f>
        <v>0</v>
      </c>
      <c r="F73" s="6">
        <f t="shared" ref="F73:F78" si="7">SUM(B73:E73)</f>
        <v>2483138</v>
      </c>
    </row>
    <row r="74" spans="1:6" s="4" customFormat="1" ht="15">
      <c r="A74" s="8" t="s">
        <v>36</v>
      </c>
      <c r="B74" s="6">
        <f>'F100 Detail'!F73</f>
        <v>4289</v>
      </c>
      <c r="C74" s="6">
        <f>'F200 Detail'!F73</f>
        <v>0</v>
      </c>
      <c r="D74" s="6">
        <f>'F500 Detail'!F73</f>
        <v>0</v>
      </c>
      <c r="E74" s="6">
        <f>'F600 Detail'!F73</f>
        <v>0</v>
      </c>
      <c r="F74" s="6">
        <f t="shared" si="7"/>
        <v>4289</v>
      </c>
    </row>
    <row r="75" spans="1:6" s="4" customFormat="1" ht="15">
      <c r="A75" s="8" t="s">
        <v>37</v>
      </c>
      <c r="B75" s="6">
        <f>'F100 Detail'!F74</f>
        <v>60530</v>
      </c>
      <c r="C75" s="6">
        <f>'F200 Detail'!F74</f>
        <v>0</v>
      </c>
      <c r="D75" s="6">
        <f>'F500 Detail'!F74</f>
        <v>0</v>
      </c>
      <c r="E75" s="6">
        <f>'F600 Detail'!F74</f>
        <v>0</v>
      </c>
      <c r="F75" s="6">
        <f t="shared" si="7"/>
        <v>60530</v>
      </c>
    </row>
    <row r="76" spans="1:6" s="4" customFormat="1" ht="15">
      <c r="A76" s="8" t="s">
        <v>38</v>
      </c>
      <c r="B76" s="6">
        <f>'F100 Detail'!F75</f>
        <v>15686</v>
      </c>
      <c r="C76" s="6">
        <f>'F200 Detail'!F75</f>
        <v>0</v>
      </c>
      <c r="D76" s="6">
        <f>'F500 Detail'!F75</f>
        <v>0</v>
      </c>
      <c r="E76" s="6">
        <f>'F600 Detail'!F75</f>
        <v>0</v>
      </c>
      <c r="F76" s="6">
        <f t="shared" si="7"/>
        <v>15686</v>
      </c>
    </row>
    <row r="77" spans="1:6" s="4" customFormat="1" ht="15">
      <c r="A77" s="8" t="s">
        <v>39</v>
      </c>
      <c r="B77" s="6">
        <f>'F100 Detail'!F76</f>
        <v>0</v>
      </c>
      <c r="C77" s="6">
        <f>'F200 Detail'!F76</f>
        <v>0</v>
      </c>
      <c r="D77" s="6">
        <f>'F500 Detail'!F76</f>
        <v>0</v>
      </c>
      <c r="E77" s="6">
        <f>'F600 Detail'!F76</f>
        <v>0</v>
      </c>
      <c r="F77" s="6">
        <f t="shared" si="7"/>
        <v>0</v>
      </c>
    </row>
    <row r="78" spans="1:6" s="4" customFormat="1" ht="17.25">
      <c r="A78" s="8" t="s">
        <v>40</v>
      </c>
      <c r="B78" s="19">
        <f>'F100 Detail'!F77</f>
        <v>0</v>
      </c>
      <c r="C78" s="19">
        <f>'F200 Detail'!F77</f>
        <v>0</v>
      </c>
      <c r="D78" s="19">
        <f>'F500 Detail'!F77</f>
        <v>0</v>
      </c>
      <c r="E78" s="19">
        <f>'F600 Detail'!F77</f>
        <v>0</v>
      </c>
      <c r="F78" s="19">
        <f t="shared" si="7"/>
        <v>0</v>
      </c>
    </row>
    <row r="79" spans="1:6" s="4" customFormat="1" ht="17.25">
      <c r="A79" s="8" t="s">
        <v>42</v>
      </c>
      <c r="B79" s="19">
        <f>SUM(B73:B78)</f>
        <v>2563643</v>
      </c>
      <c r="C79" s="19">
        <f>SUM(C73:C78)</f>
        <v>0</v>
      </c>
      <c r="D79" s="19">
        <f>SUM(D73:D78)</f>
        <v>0</v>
      </c>
      <c r="E79" s="19">
        <f>SUM(E73:E78)</f>
        <v>0</v>
      </c>
      <c r="F79" s="19">
        <f>SUM(F73:F78)</f>
        <v>2563643</v>
      </c>
    </row>
    <row r="80" spans="1:6" s="4" customFormat="1" ht="15">
      <c r="A80" s="8"/>
      <c r="B80" s="54"/>
      <c r="C80" s="54"/>
      <c r="D80" s="54"/>
      <c r="E80" s="54"/>
      <c r="F80" s="54"/>
    </row>
    <row r="81" spans="1:6" s="4" customFormat="1" ht="15">
      <c r="A81" s="7" t="s">
        <v>49</v>
      </c>
      <c r="B81" s="6"/>
      <c r="C81" s="6"/>
      <c r="D81" s="6"/>
      <c r="E81" s="6"/>
      <c r="F81" s="6"/>
    </row>
    <row r="82" spans="1:6" s="4" customFormat="1" ht="15">
      <c r="A82" s="8" t="s">
        <v>35</v>
      </c>
      <c r="B82" s="6">
        <f>'F100 Detail'!F81</f>
        <v>0</v>
      </c>
      <c r="C82" s="6">
        <f>'F200 Detail'!F81</f>
        <v>0</v>
      </c>
      <c r="D82" s="6">
        <f>'F500 Detail'!F81</f>
        <v>0</v>
      </c>
      <c r="E82" s="6">
        <f>'F600 Detail'!F81</f>
        <v>0</v>
      </c>
      <c r="F82" s="6">
        <f t="shared" ref="F82:F87" si="8">SUM(B82:E82)</f>
        <v>0</v>
      </c>
    </row>
    <row r="83" spans="1:6" s="4" customFormat="1" ht="15">
      <c r="A83" s="8" t="s">
        <v>36</v>
      </c>
      <c r="B83" s="6">
        <f>'F100 Detail'!F82</f>
        <v>11144000</v>
      </c>
      <c r="C83" s="6">
        <f>'F200 Detail'!F82</f>
        <v>0</v>
      </c>
      <c r="D83" s="6">
        <f>'F500 Detail'!F82</f>
        <v>0</v>
      </c>
      <c r="E83" s="6">
        <f>'F600 Detail'!F82</f>
        <v>0</v>
      </c>
      <c r="F83" s="6">
        <f t="shared" si="8"/>
        <v>11144000</v>
      </c>
    </row>
    <row r="84" spans="1:6" s="4" customFormat="1" ht="15">
      <c r="A84" s="8" t="s">
        <v>37</v>
      </c>
      <c r="B84" s="6">
        <f>'F100 Detail'!F83</f>
        <v>1140054</v>
      </c>
      <c r="C84" s="6">
        <f>'F200 Detail'!F83</f>
        <v>0</v>
      </c>
      <c r="D84" s="6">
        <f>'F500 Detail'!F83</f>
        <v>0</v>
      </c>
      <c r="E84" s="6">
        <f>'F600 Detail'!F83</f>
        <v>0</v>
      </c>
      <c r="F84" s="6">
        <f t="shared" si="8"/>
        <v>1140054</v>
      </c>
    </row>
    <row r="85" spans="1:6" s="4" customFormat="1" ht="15">
      <c r="A85" s="8" t="s">
        <v>38</v>
      </c>
      <c r="B85" s="6">
        <f>'F100 Detail'!F84</f>
        <v>152000</v>
      </c>
      <c r="C85" s="6">
        <f>'F200 Detail'!F84</f>
        <v>0</v>
      </c>
      <c r="D85" s="6">
        <f>'F500 Detail'!F84</f>
        <v>0</v>
      </c>
      <c r="E85" s="6">
        <f>'F600 Detail'!F84</f>
        <v>0</v>
      </c>
      <c r="F85" s="6">
        <f t="shared" si="8"/>
        <v>152000</v>
      </c>
    </row>
    <row r="86" spans="1:6" s="4" customFormat="1" ht="15">
      <c r="A86" s="8" t="s">
        <v>39</v>
      </c>
      <c r="B86" s="6">
        <f>'F100 Detail'!F85</f>
        <v>0</v>
      </c>
      <c r="C86" s="6">
        <f>'F200 Detail'!F85</f>
        <v>0</v>
      </c>
      <c r="D86" s="6">
        <f>'F500 Detail'!F85</f>
        <v>0</v>
      </c>
      <c r="E86" s="6">
        <f>'F600 Detail'!F85</f>
        <v>0</v>
      </c>
      <c r="F86" s="6">
        <f t="shared" si="8"/>
        <v>0</v>
      </c>
    </row>
    <row r="87" spans="1:6" s="4" customFormat="1" ht="17.25">
      <c r="A87" s="8" t="s">
        <v>40</v>
      </c>
      <c r="B87" s="19">
        <f>'F100 Detail'!F86</f>
        <v>0</v>
      </c>
      <c r="C87" s="19">
        <f>'F200 Detail'!F86</f>
        <v>0</v>
      </c>
      <c r="D87" s="19">
        <f>'F500 Detail'!F86</f>
        <v>0</v>
      </c>
      <c r="E87" s="19">
        <f>'F600 Detail'!F86</f>
        <v>0</v>
      </c>
      <c r="F87" s="19">
        <f t="shared" si="8"/>
        <v>0</v>
      </c>
    </row>
    <row r="88" spans="1:6" s="4" customFormat="1" ht="17.25">
      <c r="A88" s="8" t="s">
        <v>42</v>
      </c>
      <c r="B88" s="19">
        <f>SUM(B82:B87)</f>
        <v>12436054</v>
      </c>
      <c r="C88" s="19">
        <f>SUM(C82:C87)</f>
        <v>0</v>
      </c>
      <c r="D88" s="19">
        <f>SUM(D82:D87)</f>
        <v>0</v>
      </c>
      <c r="E88" s="19">
        <f>SUM(E82:E87)</f>
        <v>0</v>
      </c>
      <c r="F88" s="19">
        <f>SUM(F82:F87)</f>
        <v>12436054</v>
      </c>
    </row>
    <row r="89" spans="1:6" s="4" customFormat="1" ht="15">
      <c r="A89" s="7"/>
      <c r="B89" s="54"/>
      <c r="C89" s="54"/>
      <c r="D89" s="54"/>
      <c r="E89" s="54"/>
      <c r="F89" s="54"/>
    </row>
    <row r="90" spans="1:6" s="4" customFormat="1" ht="15">
      <c r="A90" s="7" t="s">
        <v>50</v>
      </c>
      <c r="B90" s="6"/>
      <c r="C90" s="6"/>
      <c r="D90" s="6"/>
      <c r="E90" s="6"/>
      <c r="F90" s="6"/>
    </row>
    <row r="91" spans="1:6" s="4" customFormat="1" ht="15">
      <c r="A91" s="8" t="s">
        <v>35</v>
      </c>
      <c r="B91" s="6">
        <f>'F100 Detail'!F90</f>
        <v>0</v>
      </c>
      <c r="C91" s="6">
        <f>'F200 Detail'!F90</f>
        <v>0</v>
      </c>
      <c r="D91" s="6">
        <f>'F500 Detail'!F90</f>
        <v>0</v>
      </c>
      <c r="E91" s="6">
        <f>'F600 Detail'!F90</f>
        <v>0</v>
      </c>
      <c r="F91" s="6">
        <f t="shared" ref="F91:F96" si="9">SUM(B91:E91)</f>
        <v>0</v>
      </c>
    </row>
    <row r="92" spans="1:6" s="4" customFormat="1" ht="15">
      <c r="A92" s="8" t="s">
        <v>36</v>
      </c>
      <c r="B92" s="6">
        <f>'F100 Detail'!F91</f>
        <v>0</v>
      </c>
      <c r="C92" s="6">
        <f>'F200 Detail'!F91</f>
        <v>9744044</v>
      </c>
      <c r="D92" s="6">
        <f>'F500 Detail'!F91</f>
        <v>0</v>
      </c>
      <c r="E92" s="6">
        <f>'F600 Detail'!F91</f>
        <v>0</v>
      </c>
      <c r="F92" s="6">
        <f t="shared" si="9"/>
        <v>9744044</v>
      </c>
    </row>
    <row r="93" spans="1:6" s="4" customFormat="1" ht="15">
      <c r="A93" s="8" t="s">
        <v>37</v>
      </c>
      <c r="B93" s="6">
        <f>'F100 Detail'!F92</f>
        <v>0</v>
      </c>
      <c r="C93" s="6">
        <f>'F200 Detail'!F92</f>
        <v>353741</v>
      </c>
      <c r="D93" s="6">
        <f>'F500 Detail'!F92</f>
        <v>0</v>
      </c>
      <c r="E93" s="6">
        <f>'F600 Detail'!F92</f>
        <v>0</v>
      </c>
      <c r="F93" s="6">
        <f t="shared" si="9"/>
        <v>353741</v>
      </c>
    </row>
    <row r="94" spans="1:6" s="4" customFormat="1" ht="15">
      <c r="A94" s="8" t="s">
        <v>38</v>
      </c>
      <c r="B94" s="6">
        <f>'F100 Detail'!F93</f>
        <v>0</v>
      </c>
      <c r="C94" s="6">
        <f>'F200 Detail'!F93</f>
        <v>0</v>
      </c>
      <c r="D94" s="6">
        <f>'F500 Detail'!F93</f>
        <v>0</v>
      </c>
      <c r="E94" s="6">
        <f>'F600 Detail'!F93</f>
        <v>0</v>
      </c>
      <c r="F94" s="6">
        <f t="shared" si="9"/>
        <v>0</v>
      </c>
    </row>
    <row r="95" spans="1:6" s="4" customFormat="1" ht="15">
      <c r="A95" s="8" t="s">
        <v>39</v>
      </c>
      <c r="B95" s="6">
        <f>'F100 Detail'!F94</f>
        <v>0</v>
      </c>
      <c r="C95" s="6">
        <f>'F200 Detail'!F94</f>
        <v>0</v>
      </c>
      <c r="D95" s="6">
        <f>'F500 Detail'!F94</f>
        <v>0</v>
      </c>
      <c r="E95" s="6">
        <f>'F600 Detail'!F94</f>
        <v>0</v>
      </c>
      <c r="F95" s="6">
        <f t="shared" si="9"/>
        <v>0</v>
      </c>
    </row>
    <row r="96" spans="1:6" s="4" customFormat="1" ht="17.25">
      <c r="A96" s="8" t="s">
        <v>40</v>
      </c>
      <c r="B96" s="19">
        <f>'F100 Detail'!F95</f>
        <v>0</v>
      </c>
      <c r="C96" s="19">
        <f>'F200 Detail'!F95</f>
        <v>0</v>
      </c>
      <c r="D96" s="19">
        <f>'F500 Detail'!F95</f>
        <v>0</v>
      </c>
      <c r="E96" s="19">
        <f>'F600 Detail'!F95</f>
        <v>0</v>
      </c>
      <c r="F96" s="19">
        <f t="shared" si="9"/>
        <v>0</v>
      </c>
    </row>
    <row r="97" spans="1:6" s="4" customFormat="1" ht="17.25">
      <c r="A97" s="8" t="s">
        <v>42</v>
      </c>
      <c r="B97" s="19">
        <f>SUM(B91:B96)</f>
        <v>0</v>
      </c>
      <c r="C97" s="19">
        <f>SUM(C91:C96)</f>
        <v>10097785</v>
      </c>
      <c r="D97" s="19">
        <f>SUM(D91:D96)</f>
        <v>0</v>
      </c>
      <c r="E97" s="19">
        <f>SUM(E91:E96)</f>
        <v>0</v>
      </c>
      <c r="F97" s="19">
        <f>SUM(F91:F96)</f>
        <v>10097785</v>
      </c>
    </row>
    <row r="98" spans="1:6" s="4" customFormat="1" ht="17.25">
      <c r="A98" s="8"/>
      <c r="B98" s="19"/>
      <c r="C98" s="19"/>
      <c r="D98" s="19"/>
      <c r="E98" s="19"/>
      <c r="F98" s="19"/>
    </row>
    <row r="99" spans="1:6" s="4" customFormat="1" ht="15">
      <c r="A99" s="7" t="s">
        <v>51</v>
      </c>
      <c r="B99" s="6"/>
      <c r="C99" s="6"/>
      <c r="D99" s="6"/>
      <c r="E99" s="6"/>
      <c r="F99" s="6"/>
    </row>
    <row r="100" spans="1:6" s="4" customFormat="1" ht="15">
      <c r="A100" s="8" t="s">
        <v>35</v>
      </c>
      <c r="B100" s="6">
        <f>'F100 Detail'!F99</f>
        <v>3743397</v>
      </c>
      <c r="C100" s="6">
        <f>'F200 Detail'!F99</f>
        <v>0</v>
      </c>
      <c r="D100" s="6">
        <f>'F500 Detail'!F99</f>
        <v>0</v>
      </c>
      <c r="E100" s="6">
        <f>'F600 Detail'!F99</f>
        <v>0</v>
      </c>
      <c r="F100" s="6">
        <f t="shared" ref="F100:F105" si="10">SUM(B100:E100)</f>
        <v>3743397</v>
      </c>
    </row>
    <row r="101" spans="1:6" s="4" customFormat="1" ht="15">
      <c r="A101" s="8" t="s">
        <v>36</v>
      </c>
      <c r="B101" s="6">
        <f>'F100 Detail'!F100</f>
        <v>979651</v>
      </c>
      <c r="C101" s="6">
        <f>'F200 Detail'!F100</f>
        <v>2000</v>
      </c>
      <c r="D101" s="6">
        <f>'F500 Detail'!F100</f>
        <v>0</v>
      </c>
      <c r="E101" s="6">
        <f>'F600 Detail'!F100</f>
        <v>0</v>
      </c>
      <c r="F101" s="6">
        <f t="shared" si="10"/>
        <v>981651</v>
      </c>
    </row>
    <row r="102" spans="1:6" s="4" customFormat="1" ht="15">
      <c r="A102" s="8" t="s">
        <v>37</v>
      </c>
      <c r="B102" s="6">
        <f>'F100 Detail'!F101</f>
        <v>1751297</v>
      </c>
      <c r="C102" s="6">
        <f>'F200 Detail'!F101</f>
        <v>4719.8999999999996</v>
      </c>
      <c r="D102" s="6">
        <f>'F500 Detail'!F101</f>
        <v>0</v>
      </c>
      <c r="E102" s="6">
        <f>'F600 Detail'!F101</f>
        <v>0</v>
      </c>
      <c r="F102" s="6">
        <f t="shared" si="10"/>
        <v>1756016.9</v>
      </c>
    </row>
    <row r="103" spans="1:6" s="4" customFormat="1" ht="15">
      <c r="A103" s="8" t="s">
        <v>38</v>
      </c>
      <c r="B103" s="6">
        <f>'F100 Detail'!F102</f>
        <v>1554824</v>
      </c>
      <c r="C103" s="6">
        <f>'F200 Detail'!F102</f>
        <v>2984760.53</v>
      </c>
      <c r="D103" s="6">
        <f>'F500 Detail'!F102</f>
        <v>0</v>
      </c>
      <c r="E103" s="6">
        <f>'F600 Detail'!F102</f>
        <v>0</v>
      </c>
      <c r="F103" s="6">
        <f t="shared" si="10"/>
        <v>4539584.5299999993</v>
      </c>
    </row>
    <row r="104" spans="1:6" s="4" customFormat="1" ht="15">
      <c r="A104" s="8" t="s">
        <v>39</v>
      </c>
      <c r="B104" s="6">
        <f>'F100 Detail'!F103</f>
        <v>0</v>
      </c>
      <c r="C104" s="6">
        <f>'F200 Detail'!F103</f>
        <v>0</v>
      </c>
      <c r="D104" s="6">
        <f>'F500 Detail'!F103</f>
        <v>0</v>
      </c>
      <c r="E104" s="6">
        <f>'F600 Detail'!F103</f>
        <v>0</v>
      </c>
      <c r="F104" s="6">
        <f t="shared" si="10"/>
        <v>0</v>
      </c>
    </row>
    <row r="105" spans="1:6" s="4" customFormat="1" ht="17.25">
      <c r="A105" s="8" t="s">
        <v>40</v>
      </c>
      <c r="B105" s="19">
        <f>'F100 Detail'!F104</f>
        <v>0</v>
      </c>
      <c r="C105" s="19">
        <f>'F200 Detail'!F104</f>
        <v>0</v>
      </c>
      <c r="D105" s="19">
        <f>'F500 Detail'!F104</f>
        <v>0</v>
      </c>
      <c r="E105" s="19">
        <f>'F600 Detail'!F104</f>
        <v>0</v>
      </c>
      <c r="F105" s="19">
        <f t="shared" si="10"/>
        <v>0</v>
      </c>
    </row>
    <row r="106" spans="1:6" s="4" customFormat="1" ht="17.25">
      <c r="A106" s="8" t="s">
        <v>42</v>
      </c>
      <c r="B106" s="19">
        <f>SUM(B100:B105)</f>
        <v>8029169</v>
      </c>
      <c r="C106" s="19">
        <f>SUM(C100:C105)</f>
        <v>2991480.4299999997</v>
      </c>
      <c r="D106" s="19">
        <f>SUM(D100:D105)</f>
        <v>0</v>
      </c>
      <c r="E106" s="19">
        <f>SUM(E100:E105)</f>
        <v>0</v>
      </c>
      <c r="F106" s="19">
        <f>SUM(F100:F105)</f>
        <v>11020649.43</v>
      </c>
    </row>
    <row r="107" spans="1:6" s="4" customFormat="1" ht="15">
      <c r="A107" s="7"/>
      <c r="B107" s="6"/>
      <c r="C107" s="6"/>
      <c r="D107" s="6"/>
      <c r="E107" s="6"/>
      <c r="F107" s="6"/>
    </row>
    <row r="108" spans="1:6" s="4" customFormat="1" ht="15">
      <c r="A108" s="7" t="s">
        <v>52</v>
      </c>
      <c r="B108" s="6"/>
      <c r="C108" s="6"/>
      <c r="D108" s="6"/>
      <c r="E108" s="6"/>
      <c r="F108" s="6"/>
    </row>
    <row r="109" spans="1:6" s="4" customFormat="1" ht="15">
      <c r="A109" s="8" t="s">
        <v>35</v>
      </c>
      <c r="B109" s="6">
        <f>'F100 Detail'!F108</f>
        <v>5408690</v>
      </c>
      <c r="C109" s="6">
        <f>'F200 Detail'!F108</f>
        <v>122924</v>
      </c>
      <c r="D109" s="6">
        <f>'F500 Detail'!F108</f>
        <v>0</v>
      </c>
      <c r="E109" s="6">
        <f>'F600 Detail'!F108</f>
        <v>0</v>
      </c>
      <c r="F109" s="6">
        <f t="shared" ref="F109:F114" si="11">SUM(B109:E109)</f>
        <v>5531614</v>
      </c>
    </row>
    <row r="110" spans="1:6" s="4" customFormat="1" ht="15">
      <c r="A110" s="8" t="s">
        <v>36</v>
      </c>
      <c r="B110" s="6">
        <f>'F100 Detail'!F109</f>
        <v>964043</v>
      </c>
      <c r="C110" s="6">
        <f>'F200 Detail'!F109</f>
        <v>0</v>
      </c>
      <c r="D110" s="6">
        <f>'F500 Detail'!F109</f>
        <v>0</v>
      </c>
      <c r="E110" s="6">
        <f>'F600 Detail'!F109</f>
        <v>0</v>
      </c>
      <c r="F110" s="6">
        <f t="shared" si="11"/>
        <v>964043</v>
      </c>
    </row>
    <row r="111" spans="1:6" s="4" customFormat="1" ht="15">
      <c r="A111" s="8" t="s">
        <v>37</v>
      </c>
      <c r="B111" s="6">
        <f>'F100 Detail'!F110</f>
        <v>148045</v>
      </c>
      <c r="C111" s="6">
        <f>'F200 Detail'!F110</f>
        <v>0</v>
      </c>
      <c r="D111" s="6">
        <f>'F500 Detail'!F110</f>
        <v>0</v>
      </c>
      <c r="E111" s="6">
        <f>'F600 Detail'!F110</f>
        <v>0</v>
      </c>
      <c r="F111" s="6">
        <f t="shared" si="11"/>
        <v>148045</v>
      </c>
    </row>
    <row r="112" spans="1:6" s="4" customFormat="1" ht="15">
      <c r="A112" s="8" t="s">
        <v>38</v>
      </c>
      <c r="B112" s="6">
        <f>'F100 Detail'!F111</f>
        <v>548022</v>
      </c>
      <c r="C112" s="6">
        <f>'F200 Detail'!F111</f>
        <v>8765</v>
      </c>
      <c r="D112" s="6">
        <f>'F500 Detail'!F111</f>
        <v>0</v>
      </c>
      <c r="E112" s="6">
        <f>'F600 Detail'!F111</f>
        <v>0</v>
      </c>
      <c r="F112" s="6">
        <f t="shared" si="11"/>
        <v>556787</v>
      </c>
    </row>
    <row r="113" spans="1:6" s="4" customFormat="1" ht="15">
      <c r="A113" s="8" t="s">
        <v>39</v>
      </c>
      <c r="B113" s="6">
        <f>'F100 Detail'!F112</f>
        <v>0</v>
      </c>
      <c r="C113" s="6">
        <f>'F200 Detail'!F112</f>
        <v>0</v>
      </c>
      <c r="D113" s="6">
        <f>'F500 Detail'!F112</f>
        <v>0</v>
      </c>
      <c r="E113" s="6">
        <f>'F600 Detail'!F112</f>
        <v>0</v>
      </c>
      <c r="F113" s="6">
        <f t="shared" si="11"/>
        <v>0</v>
      </c>
    </row>
    <row r="114" spans="1:6" s="4" customFormat="1" ht="17.25">
      <c r="A114" s="8" t="s">
        <v>40</v>
      </c>
      <c r="B114" s="19">
        <f>'F100 Detail'!F113</f>
        <v>0</v>
      </c>
      <c r="C114" s="19">
        <f>'F200 Detail'!F113</f>
        <v>0</v>
      </c>
      <c r="D114" s="19">
        <f>'F500 Detail'!F113</f>
        <v>0</v>
      </c>
      <c r="E114" s="19">
        <f>'F600 Detail'!F113</f>
        <v>0</v>
      </c>
      <c r="F114" s="19">
        <f t="shared" si="11"/>
        <v>0</v>
      </c>
    </row>
    <row r="115" spans="1:6" s="4" customFormat="1" ht="17.25">
      <c r="A115" s="8" t="s">
        <v>42</v>
      </c>
      <c r="B115" s="19">
        <f>SUM(B109:B114)</f>
        <v>7068800</v>
      </c>
      <c r="C115" s="19">
        <f>SUM(C109:C114)</f>
        <v>131689</v>
      </c>
      <c r="D115" s="19">
        <f>SUM(D109:D114)</f>
        <v>0</v>
      </c>
      <c r="E115" s="19">
        <f>SUM(E109:E114)</f>
        <v>0</v>
      </c>
      <c r="F115" s="19">
        <f>SUM(F109:F114)</f>
        <v>7200489</v>
      </c>
    </row>
    <row r="116" spans="1:6" s="4" customFormat="1" ht="15">
      <c r="A116" s="7"/>
      <c r="B116" s="6"/>
      <c r="C116" s="6"/>
      <c r="D116" s="6"/>
      <c r="E116" s="6"/>
      <c r="F116" s="6"/>
    </row>
    <row r="117" spans="1:6" s="4" customFormat="1" ht="15">
      <c r="A117" s="7" t="s">
        <v>53</v>
      </c>
      <c r="B117" s="6"/>
      <c r="C117" s="6"/>
      <c r="D117" s="6"/>
      <c r="E117" s="6"/>
      <c r="F117" s="6"/>
    </row>
    <row r="118" spans="1:6" s="4" customFormat="1" ht="15">
      <c r="A118" s="8" t="s">
        <v>35</v>
      </c>
      <c r="B118" s="6">
        <f>'F100 Detail'!F117</f>
        <v>4802337</v>
      </c>
      <c r="C118" s="6">
        <f>'F200 Detail'!F117</f>
        <v>0</v>
      </c>
      <c r="D118" s="6">
        <f>'F500 Detail'!F117</f>
        <v>0</v>
      </c>
      <c r="E118" s="6">
        <f>'F600 Detail'!F117</f>
        <v>0</v>
      </c>
      <c r="F118" s="6">
        <f t="shared" ref="F118:F123" si="12">SUM(B118:E118)</f>
        <v>4802337</v>
      </c>
    </row>
    <row r="119" spans="1:6" s="4" customFormat="1" ht="15">
      <c r="A119" s="8" t="s">
        <v>36</v>
      </c>
      <c r="B119" s="6">
        <f>'F100 Detail'!F118</f>
        <v>16805166</v>
      </c>
      <c r="C119" s="6">
        <f>'F200 Detail'!F118</f>
        <v>0</v>
      </c>
      <c r="D119" s="6">
        <f>'F500 Detail'!F118</f>
        <v>0</v>
      </c>
      <c r="E119" s="6">
        <f>'F600 Detail'!F118</f>
        <v>0</v>
      </c>
      <c r="F119" s="6">
        <f t="shared" si="12"/>
        <v>16805166</v>
      </c>
    </row>
    <row r="120" spans="1:6" s="4" customFormat="1" ht="15">
      <c r="A120" s="8" t="s">
        <v>37</v>
      </c>
      <c r="B120" s="6">
        <f>'F100 Detail'!F119</f>
        <v>1136872</v>
      </c>
      <c r="C120" s="6">
        <f>'F200 Detail'!F119</f>
        <v>0</v>
      </c>
      <c r="D120" s="6">
        <f>'F500 Detail'!F119</f>
        <v>0</v>
      </c>
      <c r="E120" s="6">
        <f>'F600 Detail'!F119</f>
        <v>0</v>
      </c>
      <c r="F120" s="6">
        <f t="shared" si="12"/>
        <v>1136872</v>
      </c>
    </row>
    <row r="121" spans="1:6" s="4" customFormat="1" ht="15">
      <c r="A121" s="8" t="s">
        <v>38</v>
      </c>
      <c r="B121" s="6">
        <f>'F100 Detail'!F120</f>
        <v>1134217</v>
      </c>
      <c r="C121" s="6">
        <f>'F200 Detail'!F120</f>
        <v>0</v>
      </c>
      <c r="D121" s="6">
        <f>'F500 Detail'!F120</f>
        <v>0</v>
      </c>
      <c r="E121" s="6">
        <f>'F600 Detail'!F120</f>
        <v>0</v>
      </c>
      <c r="F121" s="6">
        <f t="shared" si="12"/>
        <v>1134217</v>
      </c>
    </row>
    <row r="122" spans="1:6" s="4" customFormat="1" ht="15">
      <c r="A122" s="8" t="s">
        <v>39</v>
      </c>
      <c r="B122" s="6">
        <f>'F100 Detail'!F121</f>
        <v>0</v>
      </c>
      <c r="C122" s="6">
        <f>'F200 Detail'!F121</f>
        <v>0</v>
      </c>
      <c r="D122" s="6">
        <f>'F500 Detail'!F121</f>
        <v>0</v>
      </c>
      <c r="E122" s="6">
        <f>'F600 Detail'!F121</f>
        <v>0</v>
      </c>
      <c r="F122" s="6">
        <f t="shared" si="12"/>
        <v>0</v>
      </c>
    </row>
    <row r="123" spans="1:6" s="4" customFormat="1" ht="17.25">
      <c r="A123" s="8" t="s">
        <v>40</v>
      </c>
      <c r="B123" s="19">
        <f>'F100 Detail'!F122</f>
        <v>550379</v>
      </c>
      <c r="C123" s="19">
        <f>'F200 Detail'!F122</f>
        <v>0</v>
      </c>
      <c r="D123" s="19">
        <f>'F500 Detail'!F122</f>
        <v>0</v>
      </c>
      <c r="E123" s="19">
        <f>'F600 Detail'!F122</f>
        <v>0</v>
      </c>
      <c r="F123" s="19">
        <f t="shared" si="12"/>
        <v>550379</v>
      </c>
    </row>
    <row r="124" spans="1:6" s="4" customFormat="1" ht="17.25">
      <c r="A124" s="8" t="s">
        <v>42</v>
      </c>
      <c r="B124" s="19">
        <f>SUM(B118:B123)</f>
        <v>24428971</v>
      </c>
      <c r="C124" s="19">
        <f>SUM(C118:C123)</f>
        <v>0</v>
      </c>
      <c r="D124" s="19">
        <f>SUM(D118:D123)</f>
        <v>0</v>
      </c>
      <c r="E124" s="19">
        <f>SUM(E118:E123)</f>
        <v>0</v>
      </c>
      <c r="F124" s="19">
        <f>SUM(F118:F123)</f>
        <v>24428971</v>
      </c>
    </row>
    <row r="125" spans="1:6" s="4" customFormat="1" ht="15">
      <c r="A125" s="7"/>
      <c r="B125" s="54"/>
      <c r="C125" s="54"/>
      <c r="D125" s="54"/>
      <c r="E125" s="54"/>
      <c r="F125" s="54"/>
    </row>
    <row r="126" spans="1:6" s="4" customFormat="1" ht="15">
      <c r="A126" s="7" t="s">
        <v>55</v>
      </c>
      <c r="B126" s="6"/>
      <c r="C126" s="6"/>
      <c r="D126" s="6"/>
      <c r="E126" s="6"/>
      <c r="F126" s="6"/>
    </row>
    <row r="127" spans="1:6" s="4" customFormat="1" ht="15">
      <c r="A127" s="8" t="s">
        <v>35</v>
      </c>
      <c r="B127" s="6">
        <f>'F100 Detail'!F126</f>
        <v>421602</v>
      </c>
      <c r="C127" s="6">
        <f>'F200 Detail'!F126</f>
        <v>0</v>
      </c>
      <c r="D127" s="6">
        <f>'F500 Detail'!F126</f>
        <v>0</v>
      </c>
      <c r="E127" s="6">
        <f>'F600 Detail'!F126</f>
        <v>0</v>
      </c>
      <c r="F127" s="6">
        <f t="shared" ref="F127:F132" si="13">SUM(B127:E127)</f>
        <v>421602</v>
      </c>
    </row>
    <row r="128" spans="1:6" s="4" customFormat="1" ht="15">
      <c r="A128" s="8" t="s">
        <v>36</v>
      </c>
      <c r="B128" s="6">
        <f>'F100 Detail'!F127</f>
        <v>1488553</v>
      </c>
      <c r="C128" s="6">
        <f>'F200 Detail'!F127</f>
        <v>0</v>
      </c>
      <c r="D128" s="6">
        <f>'F500 Detail'!F127</f>
        <v>0</v>
      </c>
      <c r="E128" s="6">
        <f>'F600 Detail'!F127</f>
        <v>0</v>
      </c>
      <c r="F128" s="6">
        <f t="shared" si="13"/>
        <v>1488553</v>
      </c>
    </row>
    <row r="129" spans="1:6" s="4" customFormat="1" ht="15">
      <c r="A129" s="8" t="s">
        <v>37</v>
      </c>
      <c r="B129" s="6">
        <f>'F100 Detail'!F128</f>
        <v>200544</v>
      </c>
      <c r="C129" s="6">
        <f>'F200 Detail'!F128</f>
        <v>175748.66</v>
      </c>
      <c r="D129" s="6">
        <f>'F500 Detail'!F128</f>
        <v>0</v>
      </c>
      <c r="E129" s="6">
        <f>'F600 Detail'!F128</f>
        <v>0</v>
      </c>
      <c r="F129" s="6">
        <f t="shared" si="13"/>
        <v>376292.66000000003</v>
      </c>
    </row>
    <row r="130" spans="1:6" s="4" customFormat="1" ht="15">
      <c r="A130" s="8" t="s">
        <v>38</v>
      </c>
      <c r="B130" s="6">
        <f>'F100 Detail'!F129</f>
        <v>12647</v>
      </c>
      <c r="C130" s="6">
        <f>'F200 Detail'!F129</f>
        <v>0</v>
      </c>
      <c r="D130" s="6">
        <f>'F500 Detail'!F129</f>
        <v>0</v>
      </c>
      <c r="E130" s="6">
        <f>'F600 Detail'!F129</f>
        <v>0</v>
      </c>
      <c r="F130" s="6">
        <f t="shared" si="13"/>
        <v>12647</v>
      </c>
    </row>
    <row r="131" spans="1:6" s="4" customFormat="1" ht="15">
      <c r="A131" s="8" t="s">
        <v>39</v>
      </c>
      <c r="B131" s="6">
        <f>'F100 Detail'!F130</f>
        <v>0</v>
      </c>
      <c r="C131" s="6">
        <f>'F200 Detail'!F130</f>
        <v>0</v>
      </c>
      <c r="D131" s="6">
        <f>'F500 Detail'!F130</f>
        <v>0</v>
      </c>
      <c r="E131" s="6">
        <f>'F600 Detail'!F130</f>
        <v>0</v>
      </c>
      <c r="F131" s="6">
        <f t="shared" si="13"/>
        <v>0</v>
      </c>
    </row>
    <row r="132" spans="1:6" s="4" customFormat="1" ht="17.25">
      <c r="A132" s="8" t="s">
        <v>40</v>
      </c>
      <c r="B132" s="19">
        <f>'F100 Detail'!F131</f>
        <v>10202</v>
      </c>
      <c r="C132" s="19">
        <f>'F200 Detail'!F131</f>
        <v>109200.75</v>
      </c>
      <c r="D132" s="19">
        <f>'F500 Detail'!F131</f>
        <v>0</v>
      </c>
      <c r="E132" s="19">
        <f>'F600 Detail'!F131</f>
        <v>0</v>
      </c>
      <c r="F132" s="19">
        <f t="shared" si="13"/>
        <v>119402.75</v>
      </c>
    </row>
    <row r="133" spans="1:6" s="4" customFormat="1" ht="17.25">
      <c r="A133" s="8" t="s">
        <v>42</v>
      </c>
      <c r="B133" s="19">
        <f>SUM(B127:B132)</f>
        <v>2133548</v>
      </c>
      <c r="C133" s="19">
        <f>SUM(C127:C132)</f>
        <v>284949.41000000003</v>
      </c>
      <c r="D133" s="19">
        <f>SUM(D127:D132)</f>
        <v>0</v>
      </c>
      <c r="E133" s="19">
        <f>SUM(E127:E132)</f>
        <v>0</v>
      </c>
      <c r="F133" s="19">
        <f>SUM(F127:F132)</f>
        <v>2418497.41</v>
      </c>
    </row>
    <row r="134" spans="1:6" s="4" customFormat="1" ht="15">
      <c r="A134" s="7"/>
      <c r="B134" s="6"/>
      <c r="C134" s="6"/>
      <c r="D134" s="6"/>
      <c r="E134" s="6"/>
      <c r="F134" s="6"/>
    </row>
    <row r="135" spans="1:6" s="4" customFormat="1" ht="15">
      <c r="A135" s="7" t="s">
        <v>56</v>
      </c>
      <c r="B135" s="6"/>
      <c r="C135" s="6"/>
      <c r="D135" s="6"/>
      <c r="E135" s="6"/>
      <c r="F135" s="6"/>
    </row>
    <row r="136" spans="1:6" s="4" customFormat="1" ht="15">
      <c r="A136" s="8" t="s">
        <v>35</v>
      </c>
      <c r="B136" s="6">
        <f>'F100 Detail'!F135</f>
        <v>4357280</v>
      </c>
      <c r="C136" s="6">
        <f>'F200 Detail'!F135</f>
        <v>0</v>
      </c>
      <c r="D136" s="6">
        <f>'F500 Detail'!F135</f>
        <v>0</v>
      </c>
      <c r="E136" s="6">
        <f>'F600 Detail'!F135</f>
        <v>0</v>
      </c>
      <c r="F136" s="6">
        <f t="shared" ref="F136:F141" si="14">SUM(B136:E136)</f>
        <v>4357280</v>
      </c>
    </row>
    <row r="137" spans="1:6" s="4" customFormat="1" ht="15">
      <c r="A137" s="8" t="s">
        <v>36</v>
      </c>
      <c r="B137" s="6">
        <f>'F100 Detail'!F136</f>
        <v>1572200</v>
      </c>
      <c r="C137" s="6">
        <f>'F200 Detail'!F136</f>
        <v>0</v>
      </c>
      <c r="D137" s="6">
        <f>'F500 Detail'!F136</f>
        <v>0</v>
      </c>
      <c r="E137" s="6">
        <f>'F600 Detail'!F136</f>
        <v>0</v>
      </c>
      <c r="F137" s="6">
        <f t="shared" si="14"/>
        <v>1572200</v>
      </c>
    </row>
    <row r="138" spans="1:6" s="4" customFormat="1" ht="15">
      <c r="A138" s="8" t="s">
        <v>37</v>
      </c>
      <c r="B138" s="6">
        <f>'F100 Detail'!F137</f>
        <v>309062</v>
      </c>
      <c r="C138" s="6">
        <f>'F200 Detail'!F137</f>
        <v>0</v>
      </c>
      <c r="D138" s="6">
        <f>'F500 Detail'!F137</f>
        <v>0</v>
      </c>
      <c r="E138" s="6">
        <f>'F600 Detail'!F137</f>
        <v>0</v>
      </c>
      <c r="F138" s="6">
        <f t="shared" si="14"/>
        <v>309062</v>
      </c>
    </row>
    <row r="139" spans="1:6" s="4" customFormat="1" ht="15">
      <c r="A139" s="8" t="s">
        <v>38</v>
      </c>
      <c r="B139" s="6">
        <f>'F100 Detail'!F138</f>
        <v>78125</v>
      </c>
      <c r="C139" s="6">
        <f>'F200 Detail'!F138</f>
        <v>0</v>
      </c>
      <c r="D139" s="6">
        <f>'F500 Detail'!F138</f>
        <v>0</v>
      </c>
      <c r="E139" s="6">
        <f>'F600 Detail'!F138</f>
        <v>0</v>
      </c>
      <c r="F139" s="6">
        <f t="shared" si="14"/>
        <v>78125</v>
      </c>
    </row>
    <row r="140" spans="1:6" s="4" customFormat="1" ht="15">
      <c r="A140" s="8" t="s">
        <v>39</v>
      </c>
      <c r="B140" s="6">
        <f>'F100 Detail'!F139</f>
        <v>0</v>
      </c>
      <c r="C140" s="6">
        <f>'F200 Detail'!F139</f>
        <v>0</v>
      </c>
      <c r="D140" s="6">
        <f>'F500 Detail'!F139</f>
        <v>0</v>
      </c>
      <c r="E140" s="6">
        <f>'F600 Detail'!F139</f>
        <v>0</v>
      </c>
      <c r="F140" s="6">
        <f t="shared" si="14"/>
        <v>0</v>
      </c>
    </row>
    <row r="141" spans="1:6" s="4" customFormat="1" ht="17.25">
      <c r="A141" s="8" t="s">
        <v>40</v>
      </c>
      <c r="B141" s="19">
        <f>'F100 Detail'!F140</f>
        <v>0</v>
      </c>
      <c r="C141" s="19">
        <f>'F200 Detail'!F140</f>
        <v>0</v>
      </c>
      <c r="D141" s="19">
        <f>'F500 Detail'!F140</f>
        <v>0</v>
      </c>
      <c r="E141" s="19">
        <f>'F600 Detail'!F140</f>
        <v>0</v>
      </c>
      <c r="F141" s="19">
        <f t="shared" si="14"/>
        <v>0</v>
      </c>
    </row>
    <row r="142" spans="1:6" s="4" customFormat="1" ht="17.25">
      <c r="A142" s="8" t="s">
        <v>42</v>
      </c>
      <c r="B142" s="19">
        <f>SUM(B136:B141)</f>
        <v>6316667</v>
      </c>
      <c r="C142" s="19">
        <f>SUM(C136:C141)</f>
        <v>0</v>
      </c>
      <c r="D142" s="19">
        <f>SUM(D136:D141)</f>
        <v>0</v>
      </c>
      <c r="E142" s="19">
        <f>SUM(E136:E141)</f>
        <v>0</v>
      </c>
      <c r="F142" s="19">
        <f>SUM(F136:F141)</f>
        <v>6316667</v>
      </c>
    </row>
    <row r="143" spans="1:6" s="4" customFormat="1" ht="17.25">
      <c r="A143" s="8"/>
      <c r="B143" s="19"/>
      <c r="C143" s="19"/>
      <c r="D143" s="19"/>
      <c r="E143" s="19"/>
      <c r="F143" s="19"/>
    </row>
    <row r="144" spans="1:6" s="4" customFormat="1" ht="15">
      <c r="A144" s="7" t="s">
        <v>57</v>
      </c>
      <c r="B144" s="6"/>
      <c r="C144" s="6"/>
      <c r="D144" s="6"/>
      <c r="E144" s="6"/>
      <c r="F144" s="6"/>
    </row>
    <row r="145" spans="1:6" s="4" customFormat="1" ht="15">
      <c r="A145" s="8" t="s">
        <v>35</v>
      </c>
      <c r="B145" s="6">
        <f>'F100 Detail'!F144</f>
        <v>112389</v>
      </c>
      <c r="C145" s="6">
        <f>'F200 Detail'!F144</f>
        <v>81754</v>
      </c>
      <c r="D145" s="6">
        <f>'F500 Detail'!F144</f>
        <v>0</v>
      </c>
      <c r="E145" s="6">
        <f>'F600 Detail'!F144</f>
        <v>0</v>
      </c>
      <c r="F145" s="6">
        <f t="shared" ref="F145:F150" si="15">SUM(B145:E145)</f>
        <v>194143</v>
      </c>
    </row>
    <row r="146" spans="1:6" s="4" customFormat="1" ht="15">
      <c r="A146" s="8" t="s">
        <v>36</v>
      </c>
      <c r="B146" s="6">
        <f>'F100 Detail'!F145</f>
        <v>171</v>
      </c>
      <c r="C146" s="6">
        <f>'F200 Detail'!F145</f>
        <v>33996</v>
      </c>
      <c r="D146" s="6">
        <f>'F500 Detail'!F145</f>
        <v>0</v>
      </c>
      <c r="E146" s="6">
        <f>'F600 Detail'!F145</f>
        <v>0</v>
      </c>
      <c r="F146" s="6">
        <f t="shared" si="15"/>
        <v>34167</v>
      </c>
    </row>
    <row r="147" spans="1:6" s="4" customFormat="1" ht="15">
      <c r="A147" s="8" t="s">
        <v>37</v>
      </c>
      <c r="B147" s="6">
        <f>'F100 Detail'!F146</f>
        <v>4793</v>
      </c>
      <c r="C147" s="6">
        <f>'F200 Detail'!F146</f>
        <v>2975</v>
      </c>
      <c r="D147" s="6">
        <f>'F500 Detail'!F146</f>
        <v>0</v>
      </c>
      <c r="E147" s="6">
        <f>'F600 Detail'!F146</f>
        <v>0</v>
      </c>
      <c r="F147" s="6">
        <f t="shared" si="15"/>
        <v>7768</v>
      </c>
    </row>
    <row r="148" spans="1:6" s="4" customFormat="1" ht="15">
      <c r="A148" s="8" t="s">
        <v>38</v>
      </c>
      <c r="B148" s="6">
        <f>'F100 Detail'!F147</f>
        <v>24772</v>
      </c>
      <c r="C148" s="6">
        <f>'F200 Detail'!F147</f>
        <v>0</v>
      </c>
      <c r="D148" s="6">
        <f>'F500 Detail'!F147</f>
        <v>0</v>
      </c>
      <c r="E148" s="6">
        <f>'F600 Detail'!F147</f>
        <v>0</v>
      </c>
      <c r="F148" s="6">
        <f t="shared" si="15"/>
        <v>24772</v>
      </c>
    </row>
    <row r="149" spans="1:6" s="4" customFormat="1" ht="15">
      <c r="A149" s="8" t="s">
        <v>39</v>
      </c>
      <c r="B149" s="6">
        <f>'F100 Detail'!F148</f>
        <v>0</v>
      </c>
      <c r="C149" s="6">
        <f>'F200 Detail'!F148</f>
        <v>0</v>
      </c>
      <c r="D149" s="6">
        <f>'F500 Detail'!F148</f>
        <v>0</v>
      </c>
      <c r="E149" s="6">
        <f>'F600 Detail'!F148</f>
        <v>0</v>
      </c>
      <c r="F149" s="6">
        <f t="shared" si="15"/>
        <v>0</v>
      </c>
    </row>
    <row r="150" spans="1:6" s="4" customFormat="1" ht="17.25">
      <c r="A150" s="8" t="s">
        <v>40</v>
      </c>
      <c r="B150" s="19">
        <f>'F100 Detail'!F149</f>
        <v>0</v>
      </c>
      <c r="C150" s="19">
        <f>'F200 Detail'!F149</f>
        <v>0</v>
      </c>
      <c r="D150" s="19">
        <f>'F500 Detail'!F149</f>
        <v>0</v>
      </c>
      <c r="E150" s="19">
        <f>'F600 Detail'!F149</f>
        <v>0</v>
      </c>
      <c r="F150" s="19">
        <f t="shared" si="15"/>
        <v>0</v>
      </c>
    </row>
    <row r="151" spans="1:6" s="4" customFormat="1" ht="17.25">
      <c r="A151" s="8" t="s">
        <v>42</v>
      </c>
      <c r="B151" s="19">
        <f>SUM(B145:B150)</f>
        <v>142125</v>
      </c>
      <c r="C151" s="19">
        <f>SUM(C145:C150)</f>
        <v>118725</v>
      </c>
      <c r="D151" s="19">
        <f>SUM(D145:D150)</f>
        <v>0</v>
      </c>
      <c r="E151" s="19">
        <f>SUM(E145:E150)</f>
        <v>0</v>
      </c>
      <c r="F151" s="19">
        <f>SUM(F145:F150)</f>
        <v>260850</v>
      </c>
    </row>
    <row r="152" spans="1:6" s="4" customFormat="1" ht="15">
      <c r="A152" s="7"/>
      <c r="B152" s="6"/>
      <c r="C152" s="6"/>
      <c r="D152" s="6"/>
      <c r="E152" s="6"/>
      <c r="F152" s="6"/>
    </row>
    <row r="153" spans="1:6" s="4" customFormat="1" ht="15">
      <c r="A153" s="7" t="s">
        <v>59</v>
      </c>
      <c r="B153" s="6"/>
      <c r="C153" s="6"/>
      <c r="D153" s="6"/>
      <c r="E153" s="6"/>
      <c r="F153" s="6"/>
    </row>
    <row r="154" spans="1:6" s="4" customFormat="1" ht="15">
      <c r="A154" s="8" t="s">
        <v>35</v>
      </c>
      <c r="B154" s="6">
        <f>'F100 Detail'!F153</f>
        <v>0</v>
      </c>
      <c r="C154" s="6">
        <f>'F200 Detail'!F153</f>
        <v>0</v>
      </c>
      <c r="D154" s="6">
        <f>'F500 Detail'!F153</f>
        <v>0</v>
      </c>
      <c r="E154" s="6">
        <f>'F600 Detail'!F153</f>
        <v>0</v>
      </c>
      <c r="F154" s="6">
        <f t="shared" ref="F154:F159" si="16">SUM(B154:E154)</f>
        <v>0</v>
      </c>
    </row>
    <row r="155" spans="1:6" s="4" customFormat="1" ht="15">
      <c r="A155" s="8" t="s">
        <v>36</v>
      </c>
      <c r="B155" s="6">
        <f>'F100 Detail'!F154</f>
        <v>0</v>
      </c>
      <c r="C155" s="6">
        <f>'F200 Detail'!F154</f>
        <v>0</v>
      </c>
      <c r="D155" s="6">
        <f>'F500 Detail'!F154</f>
        <v>0</v>
      </c>
      <c r="E155" s="6">
        <f>'F600 Detail'!F154</f>
        <v>0</v>
      </c>
      <c r="F155" s="6">
        <f t="shared" si="16"/>
        <v>0</v>
      </c>
    </row>
    <row r="156" spans="1:6" s="4" customFormat="1" ht="15">
      <c r="A156" s="8" t="s">
        <v>37</v>
      </c>
      <c r="B156" s="6">
        <f>'F100 Detail'!F155</f>
        <v>0</v>
      </c>
      <c r="C156" s="6">
        <f>'F200 Detail'!F155</f>
        <v>0</v>
      </c>
      <c r="D156" s="6">
        <f>'F500 Detail'!F155</f>
        <v>0</v>
      </c>
      <c r="E156" s="6">
        <f>'F600 Detail'!F155</f>
        <v>0</v>
      </c>
      <c r="F156" s="6">
        <f t="shared" si="16"/>
        <v>0</v>
      </c>
    </row>
    <row r="157" spans="1:6" s="4" customFormat="1" ht="15">
      <c r="A157" s="8" t="s">
        <v>38</v>
      </c>
      <c r="B157" s="6">
        <f>'F100 Detail'!F156</f>
        <v>0</v>
      </c>
      <c r="C157" s="6">
        <f>'F200 Detail'!F156</f>
        <v>0</v>
      </c>
      <c r="D157" s="6">
        <f>'F500 Detail'!F156</f>
        <v>0</v>
      </c>
      <c r="E157" s="6">
        <f>'F600 Detail'!F156</f>
        <v>0</v>
      </c>
      <c r="F157" s="6">
        <f t="shared" si="16"/>
        <v>0</v>
      </c>
    </row>
    <row r="158" spans="1:6" s="4" customFormat="1" ht="15">
      <c r="A158" s="8" t="s">
        <v>39</v>
      </c>
      <c r="B158" s="6">
        <f>'F100 Detail'!F157</f>
        <v>0</v>
      </c>
      <c r="C158" s="6">
        <f>'F200 Detail'!F157</f>
        <v>0</v>
      </c>
      <c r="D158" s="6">
        <f>'F500 Detail'!F157</f>
        <v>83484994</v>
      </c>
      <c r="E158" s="6">
        <f>'F600 Detail'!F157</f>
        <v>0</v>
      </c>
      <c r="F158" s="6">
        <f t="shared" si="16"/>
        <v>83484994</v>
      </c>
    </row>
    <row r="159" spans="1:6" s="4" customFormat="1" ht="17.25">
      <c r="A159" s="8" t="s">
        <v>40</v>
      </c>
      <c r="B159" s="19">
        <f>'F100 Detail'!F158</f>
        <v>0</v>
      </c>
      <c r="C159" s="19">
        <f>'F200 Detail'!F158</f>
        <v>0</v>
      </c>
      <c r="D159" s="19">
        <f>'F500 Detail'!F158</f>
        <v>0</v>
      </c>
      <c r="E159" s="19">
        <f>'F600 Detail'!F158</f>
        <v>0</v>
      </c>
      <c r="F159" s="19">
        <f t="shared" si="16"/>
        <v>0</v>
      </c>
    </row>
    <row r="160" spans="1:6" s="4" customFormat="1" ht="17.25">
      <c r="A160" s="8" t="s">
        <v>42</v>
      </c>
      <c r="B160" s="19">
        <f>SUM(B154:B159)</f>
        <v>0</v>
      </c>
      <c r="C160" s="19">
        <f>SUM(C154:C159)</f>
        <v>0</v>
      </c>
      <c r="D160" s="19">
        <f>SUM(D154:D159)</f>
        <v>83484994</v>
      </c>
      <c r="E160" s="19">
        <f>SUM(E154:E159)</f>
        <v>0</v>
      </c>
      <c r="F160" s="19">
        <f>SUM(F154:F159)</f>
        <v>83484994</v>
      </c>
    </row>
    <row r="161" spans="1:6" s="4" customFormat="1" ht="15">
      <c r="A161" s="7"/>
      <c r="B161" s="6"/>
      <c r="C161" s="6"/>
      <c r="D161" s="6"/>
      <c r="E161" s="6"/>
      <c r="F161" s="6"/>
    </row>
    <row r="162" spans="1:6" s="4" customFormat="1" ht="15">
      <c r="A162" s="7" t="s">
        <v>60</v>
      </c>
      <c r="B162" s="6"/>
      <c r="C162" s="6"/>
      <c r="D162" s="6"/>
      <c r="E162" s="6"/>
      <c r="F162" s="6"/>
    </row>
    <row r="163" spans="1:6" s="4" customFormat="1" ht="15">
      <c r="A163" s="8" t="s">
        <v>35</v>
      </c>
      <c r="B163" s="6">
        <f>'F100 Detail'!F162</f>
        <v>0</v>
      </c>
      <c r="C163" s="6">
        <f>'F200 Detail'!F162</f>
        <v>0</v>
      </c>
      <c r="D163" s="6">
        <f>'F500 Detail'!F162</f>
        <v>0</v>
      </c>
      <c r="E163" s="6">
        <f>'F600 Detail'!F162</f>
        <v>1154046</v>
      </c>
      <c r="F163" s="6">
        <f t="shared" ref="F163:F168" si="17">SUM(B163:E163)</f>
        <v>1154046</v>
      </c>
    </row>
    <row r="164" spans="1:6" s="4" customFormat="1" ht="15">
      <c r="A164" s="8" t="s">
        <v>36</v>
      </c>
      <c r="B164" s="6">
        <f>'F100 Detail'!F163</f>
        <v>72448</v>
      </c>
      <c r="C164" s="6">
        <f>'F200 Detail'!F163</f>
        <v>0</v>
      </c>
      <c r="D164" s="6">
        <f>'F500 Detail'!F163</f>
        <v>0</v>
      </c>
      <c r="E164" s="6">
        <f>'F600 Detail'!F163</f>
        <v>0</v>
      </c>
      <c r="F164" s="6">
        <f t="shared" si="17"/>
        <v>72448</v>
      </c>
    </row>
    <row r="165" spans="1:6" s="4" customFormat="1" ht="15">
      <c r="A165" s="8" t="s">
        <v>37</v>
      </c>
      <c r="B165" s="6">
        <f>'F100 Detail'!F164</f>
        <v>51000</v>
      </c>
      <c r="C165" s="6">
        <f>'F200 Detail'!F164</f>
        <v>0</v>
      </c>
      <c r="D165" s="6">
        <f>'F500 Detail'!F164</f>
        <v>0</v>
      </c>
      <c r="E165" s="6">
        <f>'F600 Detail'!F164</f>
        <v>38336828.100000001</v>
      </c>
      <c r="F165" s="6">
        <f t="shared" si="17"/>
        <v>38387828.100000001</v>
      </c>
    </row>
    <row r="166" spans="1:6" s="4" customFormat="1" ht="15">
      <c r="A166" s="8" t="s">
        <v>38</v>
      </c>
      <c r="B166" s="6">
        <f>'F100 Detail'!F165</f>
        <v>0</v>
      </c>
      <c r="C166" s="6">
        <f>'F200 Detail'!F165</f>
        <v>0</v>
      </c>
      <c r="D166" s="6">
        <f>'F500 Detail'!F165</f>
        <v>0</v>
      </c>
      <c r="E166" s="6">
        <f>'F600 Detail'!F165</f>
        <v>25000</v>
      </c>
      <c r="F166" s="6">
        <f t="shared" si="17"/>
        <v>25000</v>
      </c>
    </row>
    <row r="167" spans="1:6" s="4" customFormat="1" ht="15">
      <c r="A167" s="8" t="s">
        <v>39</v>
      </c>
      <c r="B167" s="6">
        <f>'F100 Detail'!F166</f>
        <v>0</v>
      </c>
      <c r="C167" s="6">
        <f>'F200 Detail'!F166</f>
        <v>0</v>
      </c>
      <c r="D167" s="6">
        <f>'F500 Detail'!F166</f>
        <v>0</v>
      </c>
      <c r="E167" s="6">
        <f>'F600 Detail'!F166</f>
        <v>0</v>
      </c>
      <c r="F167" s="6">
        <f t="shared" si="17"/>
        <v>0</v>
      </c>
    </row>
    <row r="168" spans="1:6" s="4" customFormat="1" ht="17.25">
      <c r="A168" s="8" t="s">
        <v>40</v>
      </c>
      <c r="B168" s="19">
        <f>'F100 Detail'!F167</f>
        <v>289652</v>
      </c>
      <c r="C168" s="19">
        <f>'F200 Detail'!F167</f>
        <v>0</v>
      </c>
      <c r="D168" s="19">
        <f>'F500 Detail'!F167</f>
        <v>0</v>
      </c>
      <c r="E168" s="19">
        <f>'F600 Detail'!F167</f>
        <v>147832705.30000001</v>
      </c>
      <c r="F168" s="19">
        <f t="shared" si="17"/>
        <v>148122357.30000001</v>
      </c>
    </row>
    <row r="169" spans="1:6" s="4" customFormat="1" ht="17.25">
      <c r="A169" s="8" t="s">
        <v>42</v>
      </c>
      <c r="B169" s="19">
        <f>SUM(B163:B168)</f>
        <v>413100</v>
      </c>
      <c r="C169" s="19">
        <f>SUM(C163:C168)</f>
        <v>0</v>
      </c>
      <c r="D169" s="19">
        <f>SUM(D163:D168)</f>
        <v>0</v>
      </c>
      <c r="E169" s="19">
        <f>SUM(E163:E168)</f>
        <v>187348579.40000001</v>
      </c>
      <c r="F169" s="19">
        <f>SUM(F163:F168)</f>
        <v>187761679.40000001</v>
      </c>
    </row>
    <row r="170" spans="1:6" s="4" customFormat="1" ht="15">
      <c r="A170" s="7"/>
      <c r="B170" s="6"/>
      <c r="C170" s="6"/>
      <c r="D170" s="6"/>
      <c r="E170" s="6"/>
      <c r="F170" s="6"/>
    </row>
    <row r="171" spans="1:6" s="4" customFormat="1" ht="15">
      <c r="A171" s="41" t="s">
        <v>69</v>
      </c>
      <c r="B171" s="6"/>
      <c r="C171" s="6"/>
      <c r="D171" s="6"/>
      <c r="E171" s="6"/>
      <c r="F171" s="6"/>
    </row>
    <row r="172" spans="1:6" s="4" customFormat="1" ht="15">
      <c r="A172" s="8" t="s">
        <v>35</v>
      </c>
      <c r="B172" s="6">
        <f>'F100 Detail'!F171</f>
        <v>0</v>
      </c>
      <c r="C172" s="6">
        <f>'F200 Detail'!F171</f>
        <v>0</v>
      </c>
      <c r="D172" s="6">
        <f>'F500 Detail'!F171</f>
        <v>0</v>
      </c>
      <c r="E172" s="6">
        <f>'F600 Detail'!F171</f>
        <v>0</v>
      </c>
      <c r="F172" s="6">
        <f t="shared" ref="F172:F177" si="18">SUM(B172:E172)</f>
        <v>0</v>
      </c>
    </row>
    <row r="173" spans="1:6" s="4" customFormat="1" ht="15">
      <c r="A173" s="8" t="s">
        <v>36</v>
      </c>
      <c r="B173" s="6">
        <f>'F100 Detail'!F172</f>
        <v>5780895</v>
      </c>
      <c r="C173" s="6">
        <f>'F200 Detail'!F172</f>
        <v>0</v>
      </c>
      <c r="D173" s="6">
        <f>'F500 Detail'!F172</f>
        <v>0</v>
      </c>
      <c r="E173" s="6">
        <f>'F600 Detail'!F172</f>
        <v>0</v>
      </c>
      <c r="F173" s="6">
        <f t="shared" si="18"/>
        <v>5780895</v>
      </c>
    </row>
    <row r="174" spans="1:6" s="4" customFormat="1" ht="15">
      <c r="A174" s="8" t="s">
        <v>37</v>
      </c>
      <c r="B174" s="6">
        <f>'F100 Detail'!F173</f>
        <v>0</v>
      </c>
      <c r="C174" s="6">
        <f>'F200 Detail'!F173</f>
        <v>0</v>
      </c>
      <c r="D174" s="6">
        <f>'F500 Detail'!F173</f>
        <v>0</v>
      </c>
      <c r="E174" s="6">
        <f>'F600 Detail'!F173</f>
        <v>0</v>
      </c>
      <c r="F174" s="6">
        <f t="shared" si="18"/>
        <v>0</v>
      </c>
    </row>
    <row r="175" spans="1:6" s="4" customFormat="1" ht="15">
      <c r="A175" s="8" t="s">
        <v>38</v>
      </c>
      <c r="B175" s="6">
        <f>'F100 Detail'!F174</f>
        <v>0</v>
      </c>
      <c r="C175" s="6">
        <f>'F200 Detail'!F174</f>
        <v>0</v>
      </c>
      <c r="D175" s="6">
        <f>'F500 Detail'!F174</f>
        <v>0</v>
      </c>
      <c r="E175" s="6">
        <f>'F600 Detail'!F174</f>
        <v>0</v>
      </c>
      <c r="F175" s="6">
        <f t="shared" si="18"/>
        <v>0</v>
      </c>
    </row>
    <row r="176" spans="1:6" s="4" customFormat="1" ht="15">
      <c r="A176" s="8" t="s">
        <v>39</v>
      </c>
      <c r="B176" s="6">
        <f>'F100 Detail'!F175</f>
        <v>0</v>
      </c>
      <c r="C176" s="6">
        <f>'F200 Detail'!F175</f>
        <v>0</v>
      </c>
      <c r="D176" s="6">
        <f>'F500 Detail'!F175</f>
        <v>0</v>
      </c>
      <c r="E176" s="6">
        <f>'F600 Detail'!F175</f>
        <v>0</v>
      </c>
      <c r="F176" s="6">
        <f t="shared" si="18"/>
        <v>0</v>
      </c>
    </row>
    <row r="177" spans="1:6" s="4" customFormat="1" ht="17.25">
      <c r="A177" s="8" t="s">
        <v>40</v>
      </c>
      <c r="B177" s="19">
        <f>'F100 Detail'!F176</f>
        <v>0</v>
      </c>
      <c r="C177" s="19">
        <f>'F200 Detail'!F176</f>
        <v>0</v>
      </c>
      <c r="D177" s="19">
        <f>'F500 Detail'!F176</f>
        <v>0</v>
      </c>
      <c r="E177" s="19">
        <f>'F600 Detail'!F176</f>
        <v>0</v>
      </c>
      <c r="F177" s="19">
        <f t="shared" si="18"/>
        <v>0</v>
      </c>
    </row>
    <row r="178" spans="1:6" s="4" customFormat="1" ht="17.25">
      <c r="A178" s="8" t="s">
        <v>42</v>
      </c>
      <c r="B178" s="19">
        <f>SUM(B172:B177)</f>
        <v>5780895</v>
      </c>
      <c r="C178" s="19">
        <f>SUM(C172:C177)</f>
        <v>0</v>
      </c>
      <c r="D178" s="19">
        <f>SUM(D172:D177)</f>
        <v>0</v>
      </c>
      <c r="E178" s="19">
        <f>SUM(E172:E177)</f>
        <v>0</v>
      </c>
      <c r="F178" s="19">
        <f>SUM(F172:F177)</f>
        <v>5780895</v>
      </c>
    </row>
    <row r="179" spans="1:6" s="4" customFormat="1" ht="15">
      <c r="A179" s="7"/>
      <c r="B179" s="6"/>
      <c r="C179" s="6"/>
      <c r="D179" s="6"/>
      <c r="E179" s="6"/>
      <c r="F179" s="6"/>
    </row>
    <row r="180" spans="1:6" s="4" customFormat="1" ht="15">
      <c r="A180" s="41" t="s">
        <v>84</v>
      </c>
      <c r="B180" s="6"/>
      <c r="C180" s="6"/>
      <c r="D180" s="6"/>
      <c r="E180" s="6"/>
      <c r="F180" s="6"/>
    </row>
    <row r="181" spans="1:6" s="4" customFormat="1" ht="15">
      <c r="A181" s="8" t="s">
        <v>35</v>
      </c>
      <c r="B181" s="6">
        <f>'F100 Detail'!F180</f>
        <v>0</v>
      </c>
      <c r="C181" s="6">
        <f>'F200 Detail'!F180</f>
        <v>0</v>
      </c>
      <c r="D181" s="6">
        <f>'F500 Detail'!F180</f>
        <v>0</v>
      </c>
      <c r="E181" s="6">
        <f>'F600 Detail'!F180</f>
        <v>0</v>
      </c>
      <c r="F181" s="6">
        <f>'F100 Detail'!F180+'F200 Detail'!F180+'F500 Detail'!F180+'F600 Detail'!F180</f>
        <v>0</v>
      </c>
    </row>
    <row r="182" spans="1:6" s="4" customFormat="1" ht="15">
      <c r="A182" s="8" t="s">
        <v>36</v>
      </c>
      <c r="B182" s="6">
        <f>'F100 Detail'!F181</f>
        <v>0</v>
      </c>
      <c r="C182" s="6">
        <f>'F200 Detail'!F181</f>
        <v>0</v>
      </c>
      <c r="D182" s="6">
        <f>'F500 Detail'!F181</f>
        <v>0</v>
      </c>
      <c r="E182" s="6">
        <f>'F600 Detail'!F181</f>
        <v>0</v>
      </c>
      <c r="F182" s="6">
        <f>'F100 Detail'!F181+'F200 Detail'!F181+'F500 Detail'!F181+'F600 Detail'!F181</f>
        <v>0</v>
      </c>
    </row>
    <row r="183" spans="1:6" s="4" customFormat="1" ht="15">
      <c r="A183" s="8" t="s">
        <v>37</v>
      </c>
      <c r="B183" s="6">
        <f>'F100 Detail'!F182</f>
        <v>0</v>
      </c>
      <c r="C183" s="6">
        <f>'F200 Detail'!F182</f>
        <v>0</v>
      </c>
      <c r="D183" s="6">
        <f>'F500 Detail'!F182</f>
        <v>0</v>
      </c>
      <c r="E183" s="6">
        <f>'F600 Detail'!F182</f>
        <v>0</v>
      </c>
      <c r="F183" s="6">
        <f>'F100 Detail'!F182+'F200 Detail'!F182+'F500 Detail'!F182+'F600 Detail'!F182</f>
        <v>0</v>
      </c>
    </row>
    <row r="184" spans="1:6" s="4" customFormat="1" ht="15">
      <c r="A184" s="8" t="s">
        <v>38</v>
      </c>
      <c r="B184" s="6">
        <f>'F100 Detail'!F183</f>
        <v>80000</v>
      </c>
      <c r="C184" s="6">
        <f>'F200 Detail'!F183</f>
        <v>0</v>
      </c>
      <c r="D184" s="6">
        <f>'F500 Detail'!F183</f>
        <v>0</v>
      </c>
      <c r="E184" s="6">
        <f>'F600 Detail'!F183</f>
        <v>0</v>
      </c>
      <c r="F184" s="6">
        <f>'F100 Detail'!F183+'F200 Detail'!F183+'F500 Detail'!F183+'F600 Detail'!F183</f>
        <v>80000</v>
      </c>
    </row>
    <row r="185" spans="1:6" s="4" customFormat="1" ht="15">
      <c r="A185" s="8" t="s">
        <v>39</v>
      </c>
      <c r="B185" s="6">
        <f>'F100 Detail'!F184</f>
        <v>0</v>
      </c>
      <c r="C185" s="6">
        <f>'F200 Detail'!F184</f>
        <v>0</v>
      </c>
      <c r="D185" s="6">
        <f>'F500 Detail'!F184</f>
        <v>0</v>
      </c>
      <c r="E185" s="6">
        <f>'F600 Detail'!F184</f>
        <v>0</v>
      </c>
      <c r="F185" s="6">
        <f>'F100 Detail'!F184+'F200 Detail'!F184+'F500 Detail'!F184+'F600 Detail'!F184</f>
        <v>0</v>
      </c>
    </row>
    <row r="186" spans="1:6" s="4" customFormat="1" ht="17.25">
      <c r="A186" s="8" t="s">
        <v>40</v>
      </c>
      <c r="B186" s="19">
        <f>'F100 Detail'!F185</f>
        <v>0</v>
      </c>
      <c r="C186" s="19">
        <f>'F200 Detail'!F185</f>
        <v>0</v>
      </c>
      <c r="D186" s="19">
        <f>'F500 Detail'!F185</f>
        <v>0</v>
      </c>
      <c r="E186" s="19">
        <f>'F600 Detail'!F185</f>
        <v>0</v>
      </c>
      <c r="F186" s="19">
        <f>'F100 Detail'!F185+'F200 Detail'!F185+'F500 Detail'!F185+'F600 Detail'!F185</f>
        <v>0</v>
      </c>
    </row>
    <row r="187" spans="1:6" s="4" customFormat="1" ht="15">
      <c r="A187" s="8" t="s">
        <v>42</v>
      </c>
      <c r="B187" s="54">
        <f>SUM(B181:B186)</f>
        <v>80000</v>
      </c>
      <c r="C187" s="54">
        <f>SUM(C181:C186)</f>
        <v>0</v>
      </c>
      <c r="D187" s="54">
        <f>SUM(D181:D186)</f>
        <v>0</v>
      </c>
      <c r="E187" s="54">
        <f>SUM(E181:E186)</f>
        <v>0</v>
      </c>
      <c r="F187" s="54">
        <f>SUM(F181:F186)</f>
        <v>80000</v>
      </c>
    </row>
    <row r="188" spans="1:6" s="4" customFormat="1" ht="15">
      <c r="A188" s="8"/>
      <c r="B188" s="54"/>
      <c r="C188" s="54"/>
      <c r="D188" s="54"/>
      <c r="E188" s="54"/>
      <c r="F188" s="54"/>
    </row>
    <row r="189" spans="1:6" s="29" customFormat="1" ht="15.75">
      <c r="A189" s="41" t="s">
        <v>82</v>
      </c>
      <c r="B189" s="6"/>
      <c r="C189" s="6"/>
      <c r="D189" s="6"/>
      <c r="E189" s="6"/>
      <c r="F189" s="6"/>
    </row>
    <row r="190" spans="1:6" s="29" customFormat="1" ht="15.75">
      <c r="A190" s="8" t="s">
        <v>35</v>
      </c>
      <c r="B190" s="6">
        <f>'F100 Detail'!F189</f>
        <v>0</v>
      </c>
      <c r="C190" s="6">
        <f>'F200 Detail'!F189</f>
        <v>0</v>
      </c>
      <c r="D190" s="6">
        <f>'F500 Detail'!F189</f>
        <v>0</v>
      </c>
      <c r="E190" s="6">
        <f>'F600 Detail'!F189</f>
        <v>0</v>
      </c>
      <c r="F190" s="6">
        <f t="shared" ref="F190:F195" si="19">SUM(B190:E190)</f>
        <v>0</v>
      </c>
    </row>
    <row r="191" spans="1:6" s="29" customFormat="1" ht="15.75">
      <c r="A191" s="8" t="s">
        <v>36</v>
      </c>
      <c r="B191" s="6">
        <f>'F100 Detail'!F190</f>
        <v>10000</v>
      </c>
      <c r="C191" s="6">
        <f>'F200 Detail'!F190</f>
        <v>0</v>
      </c>
      <c r="D191" s="6">
        <f>'F500 Detail'!F190</f>
        <v>0</v>
      </c>
      <c r="E191" s="6">
        <f>'F600 Detail'!F190</f>
        <v>0</v>
      </c>
      <c r="F191" s="6">
        <f t="shared" si="19"/>
        <v>10000</v>
      </c>
    </row>
    <row r="192" spans="1:6" s="29" customFormat="1" ht="15.75">
      <c r="A192" s="8" t="s">
        <v>37</v>
      </c>
      <c r="B192" s="6">
        <f>'F100 Detail'!F191</f>
        <v>0</v>
      </c>
      <c r="C192" s="6">
        <f>'F200 Detail'!F191</f>
        <v>0</v>
      </c>
      <c r="D192" s="6">
        <f>'F500 Detail'!F191</f>
        <v>0</v>
      </c>
      <c r="E192" s="6">
        <f>'F600 Detail'!F191</f>
        <v>0</v>
      </c>
      <c r="F192" s="6">
        <f t="shared" si="19"/>
        <v>0</v>
      </c>
    </row>
    <row r="193" spans="1:6" s="29" customFormat="1" ht="15.75">
      <c r="A193" s="8" t="s">
        <v>38</v>
      </c>
      <c r="B193" s="6">
        <f>'F100 Detail'!F192</f>
        <v>0</v>
      </c>
      <c r="C193" s="6">
        <f>'F200 Detail'!F192</f>
        <v>0</v>
      </c>
      <c r="D193" s="6">
        <f>'F500 Detail'!F192</f>
        <v>0</v>
      </c>
      <c r="E193" s="6">
        <f>'F600 Detail'!F192</f>
        <v>0</v>
      </c>
      <c r="F193" s="6">
        <f t="shared" si="19"/>
        <v>0</v>
      </c>
    </row>
    <row r="194" spans="1:6" s="29" customFormat="1" ht="15.75">
      <c r="A194" s="8" t="s">
        <v>39</v>
      </c>
      <c r="B194" s="6">
        <f>'F100 Detail'!F193</f>
        <v>0</v>
      </c>
      <c r="C194" s="6">
        <f>'F200 Detail'!F193</f>
        <v>0</v>
      </c>
      <c r="D194" s="6">
        <f>'F500 Detail'!F193</f>
        <v>0</v>
      </c>
      <c r="E194" s="6">
        <f>'F600 Detail'!F193</f>
        <v>0</v>
      </c>
      <c r="F194" s="6">
        <f t="shared" si="19"/>
        <v>0</v>
      </c>
    </row>
    <row r="195" spans="1:6" s="29" customFormat="1" ht="18">
      <c r="A195" s="8" t="s">
        <v>40</v>
      </c>
      <c r="B195" s="19">
        <f>'F100 Detail'!F194</f>
        <v>0</v>
      </c>
      <c r="C195" s="19">
        <f>'F200 Detail'!F194</f>
        <v>0</v>
      </c>
      <c r="D195" s="19">
        <f>'F500 Detail'!F194</f>
        <v>0</v>
      </c>
      <c r="E195" s="19">
        <f>'F600 Detail'!F194</f>
        <v>0</v>
      </c>
      <c r="F195" s="19">
        <f t="shared" si="19"/>
        <v>0</v>
      </c>
    </row>
    <row r="196" spans="1:6" s="29" customFormat="1" ht="18">
      <c r="A196" s="8" t="s">
        <v>42</v>
      </c>
      <c r="B196" s="19">
        <f>SUM(B190:B195)</f>
        <v>10000</v>
      </c>
      <c r="C196" s="19">
        <f>SUM(C190:C195)</f>
        <v>0</v>
      </c>
      <c r="D196" s="19">
        <f>SUM(D190:D195)</f>
        <v>0</v>
      </c>
      <c r="E196" s="19">
        <f>SUM(E190:E195)</f>
        <v>0</v>
      </c>
      <c r="F196" s="19">
        <f>SUM(F190:F195)</f>
        <v>10000</v>
      </c>
    </row>
    <row r="197" spans="1:6" s="29" customFormat="1" ht="15.75">
      <c r="A197" s="34"/>
      <c r="B197" s="34"/>
      <c r="C197" s="34"/>
      <c r="D197" s="34"/>
      <c r="E197" s="34"/>
      <c r="F197" s="34"/>
    </row>
    <row r="198" spans="1:6" s="29" customFormat="1" ht="15.75">
      <c r="A198" s="41" t="s">
        <v>70</v>
      </c>
      <c r="B198" s="6"/>
      <c r="C198" s="6"/>
      <c r="D198" s="6"/>
      <c r="E198" s="6"/>
      <c r="F198" s="6"/>
    </row>
    <row r="199" spans="1:6" s="29" customFormat="1" ht="15.75">
      <c r="A199" s="8" t="s">
        <v>35</v>
      </c>
      <c r="B199" s="6">
        <f>'F100 Detail'!F198</f>
        <v>0</v>
      </c>
      <c r="C199" s="6">
        <f>'F200 Detail'!F198</f>
        <v>0</v>
      </c>
      <c r="D199" s="6">
        <f>'F500 Detail'!F198</f>
        <v>0</v>
      </c>
      <c r="E199" s="6">
        <f>'F600 Detail'!F198</f>
        <v>0</v>
      </c>
      <c r="F199" s="6">
        <f t="shared" ref="F199:F204" si="20">SUM(B199:E199)</f>
        <v>0</v>
      </c>
    </row>
    <row r="200" spans="1:6" s="29" customFormat="1" ht="15.75">
      <c r="A200" s="8" t="s">
        <v>36</v>
      </c>
      <c r="B200" s="6">
        <f>'F100 Detail'!F199</f>
        <v>0</v>
      </c>
      <c r="C200" s="6">
        <f>'F200 Detail'!F199</f>
        <v>0</v>
      </c>
      <c r="D200" s="6">
        <f>'F500 Detail'!F199</f>
        <v>0</v>
      </c>
      <c r="E200" s="6">
        <f>'F600 Detail'!F199</f>
        <v>0</v>
      </c>
      <c r="F200" s="6">
        <f t="shared" si="20"/>
        <v>0</v>
      </c>
    </row>
    <row r="201" spans="1:6" s="29" customFormat="1" ht="15.75">
      <c r="A201" s="8" t="s">
        <v>37</v>
      </c>
      <c r="B201" s="6">
        <f>'F100 Detail'!F200</f>
        <v>0</v>
      </c>
      <c r="C201" s="6">
        <f>'F200 Detail'!F200</f>
        <v>0</v>
      </c>
      <c r="D201" s="6">
        <f>'F500 Detail'!F200</f>
        <v>0</v>
      </c>
      <c r="E201" s="6">
        <f>'F600 Detail'!F200</f>
        <v>0</v>
      </c>
      <c r="F201" s="6">
        <f t="shared" si="20"/>
        <v>0</v>
      </c>
    </row>
    <row r="202" spans="1:6" s="29" customFormat="1" ht="15.75">
      <c r="A202" s="8" t="s">
        <v>38</v>
      </c>
      <c r="B202" s="6">
        <f>'F100 Detail'!F201</f>
        <v>1711144</v>
      </c>
      <c r="C202" s="6">
        <f>'F200 Detail'!F201</f>
        <v>0</v>
      </c>
      <c r="D202" s="6">
        <f>'F500 Detail'!F201</f>
        <v>0</v>
      </c>
      <c r="E202" s="6">
        <f>'F600 Detail'!F201</f>
        <v>0</v>
      </c>
      <c r="F202" s="6">
        <f t="shared" si="20"/>
        <v>1711144</v>
      </c>
    </row>
    <row r="203" spans="1:6" s="29" customFormat="1" ht="15.75">
      <c r="A203" s="8" t="s">
        <v>39</v>
      </c>
      <c r="B203" s="6">
        <f>'F100 Detail'!F202</f>
        <v>0</v>
      </c>
      <c r="C203" s="6">
        <f>'F200 Detail'!F202</f>
        <v>0</v>
      </c>
      <c r="D203" s="6">
        <f>'F500 Detail'!F202</f>
        <v>0</v>
      </c>
      <c r="E203" s="6">
        <f>'F600 Detail'!F202</f>
        <v>0</v>
      </c>
      <c r="F203" s="6">
        <f t="shared" si="20"/>
        <v>0</v>
      </c>
    </row>
    <row r="204" spans="1:6" s="29" customFormat="1" ht="18">
      <c r="A204" s="8" t="s">
        <v>40</v>
      </c>
      <c r="B204" s="19">
        <f>'F100 Detail'!F203</f>
        <v>0</v>
      </c>
      <c r="C204" s="19">
        <f>'F200 Detail'!F203</f>
        <v>0</v>
      </c>
      <c r="D204" s="19">
        <f>'F500 Detail'!F203</f>
        <v>0</v>
      </c>
      <c r="E204" s="19">
        <f>'F600 Detail'!F203</f>
        <v>0</v>
      </c>
      <c r="F204" s="19">
        <f t="shared" si="20"/>
        <v>0</v>
      </c>
    </row>
    <row r="205" spans="1:6" s="29" customFormat="1" ht="18">
      <c r="A205" s="8" t="s">
        <v>42</v>
      </c>
      <c r="B205" s="19">
        <f>SUM(B199:B204)</f>
        <v>1711144</v>
      </c>
      <c r="C205" s="19">
        <f>SUM(C199:C204)</f>
        <v>0</v>
      </c>
      <c r="D205" s="19">
        <f>SUM(D199:D204)</f>
        <v>0</v>
      </c>
      <c r="E205" s="19">
        <f>SUM(E199:E204)</f>
        <v>0</v>
      </c>
      <c r="F205" s="19">
        <f>SUM(F199:F204)</f>
        <v>1711144</v>
      </c>
    </row>
    <row r="206" spans="1:6" s="29" customFormat="1" ht="15.75">
      <c r="A206" s="34"/>
      <c r="B206" s="34"/>
      <c r="C206" s="34"/>
      <c r="D206" s="34"/>
      <c r="E206" s="34"/>
      <c r="F206" s="34"/>
    </row>
    <row r="207" spans="1:6" s="4" customFormat="1" ht="15">
      <c r="A207" s="41" t="s">
        <v>83</v>
      </c>
      <c r="B207" s="6"/>
      <c r="C207" s="6"/>
      <c r="D207" s="6"/>
      <c r="E207" s="6"/>
      <c r="F207" s="6"/>
    </row>
    <row r="208" spans="1:6" s="4" customFormat="1" ht="15">
      <c r="A208" s="8" t="s">
        <v>35</v>
      </c>
      <c r="B208" s="6">
        <f>'F100 Detail'!F207</f>
        <v>0</v>
      </c>
      <c r="C208" s="6">
        <f>'F200 Detail'!F207</f>
        <v>0</v>
      </c>
      <c r="D208" s="6">
        <f>'F500 Detail'!F207</f>
        <v>0</v>
      </c>
      <c r="E208" s="6">
        <f>'F600 Detail'!F207</f>
        <v>0</v>
      </c>
      <c r="F208" s="6">
        <f t="shared" ref="F208:F213" si="21">SUM(B208:E208)</f>
        <v>0</v>
      </c>
    </row>
    <row r="209" spans="1:6" s="4" customFormat="1" ht="15">
      <c r="A209" s="8" t="s">
        <v>36</v>
      </c>
      <c r="B209" s="6">
        <f>'F100 Detail'!F208</f>
        <v>1450000</v>
      </c>
      <c r="C209" s="6">
        <f>'F200 Detail'!F208</f>
        <v>0</v>
      </c>
      <c r="D209" s="6">
        <f>'F500 Detail'!F208</f>
        <v>0</v>
      </c>
      <c r="E209" s="6">
        <f>'F600 Detail'!F208</f>
        <v>0</v>
      </c>
      <c r="F209" s="6">
        <f t="shared" si="21"/>
        <v>1450000</v>
      </c>
    </row>
    <row r="210" spans="1:6" s="4" customFormat="1" ht="15">
      <c r="A210" s="8" t="s">
        <v>37</v>
      </c>
      <c r="B210" s="6">
        <f>'F100 Detail'!F209</f>
        <v>0</v>
      </c>
      <c r="C210" s="6">
        <f>'F200 Detail'!F209</f>
        <v>0</v>
      </c>
      <c r="D210" s="6">
        <f>'F500 Detail'!F209</f>
        <v>0</v>
      </c>
      <c r="E210" s="6">
        <f>'F600 Detail'!F209</f>
        <v>0</v>
      </c>
      <c r="F210" s="6">
        <f t="shared" si="21"/>
        <v>0</v>
      </c>
    </row>
    <row r="211" spans="1:6" s="4" customFormat="1" ht="15">
      <c r="A211" s="8" t="s">
        <v>38</v>
      </c>
      <c r="B211" s="6">
        <f>'F100 Detail'!F210</f>
        <v>0</v>
      </c>
      <c r="C211" s="6">
        <f>'F200 Detail'!F210</f>
        <v>0</v>
      </c>
      <c r="D211" s="6">
        <f>'F500 Detail'!F210</f>
        <v>0</v>
      </c>
      <c r="E211" s="6">
        <f>'F600 Detail'!F210</f>
        <v>0</v>
      </c>
      <c r="F211" s="6">
        <f t="shared" si="21"/>
        <v>0</v>
      </c>
    </row>
    <row r="212" spans="1:6" s="4" customFormat="1" ht="15">
      <c r="A212" s="8" t="s">
        <v>39</v>
      </c>
      <c r="B212" s="6">
        <f>'F100 Detail'!F211</f>
        <v>0</v>
      </c>
      <c r="C212" s="6">
        <f>'F200 Detail'!F211</f>
        <v>0</v>
      </c>
      <c r="D212" s="6">
        <f>'F500 Detail'!F211</f>
        <v>0</v>
      </c>
      <c r="E212" s="6">
        <f>'F600 Detail'!F211</f>
        <v>0</v>
      </c>
      <c r="F212" s="6">
        <f t="shared" si="21"/>
        <v>0</v>
      </c>
    </row>
    <row r="213" spans="1:6" s="4" customFormat="1" ht="17.25">
      <c r="A213" s="8" t="s">
        <v>40</v>
      </c>
      <c r="B213" s="19">
        <v>2000000</v>
      </c>
      <c r="C213" s="19">
        <f>'F200 Detail'!F212</f>
        <v>0</v>
      </c>
      <c r="D213" s="19">
        <f>'F500 Detail'!F212</f>
        <v>0</v>
      </c>
      <c r="E213" s="19">
        <f>'F600 Detail'!F212</f>
        <v>0</v>
      </c>
      <c r="F213" s="19">
        <f t="shared" si="21"/>
        <v>2000000</v>
      </c>
    </row>
    <row r="214" spans="1:6" s="4" customFormat="1" ht="17.25">
      <c r="A214" s="8" t="s">
        <v>42</v>
      </c>
      <c r="B214" s="19">
        <f>SUM(B208:B213)</f>
        <v>3450000</v>
      </c>
      <c r="C214" s="19">
        <f>SUM(C208:C213)</f>
        <v>0</v>
      </c>
      <c r="D214" s="19">
        <f>SUM(D208:D213)</f>
        <v>0</v>
      </c>
      <c r="E214" s="19">
        <f>SUM(E208:E213)</f>
        <v>0</v>
      </c>
      <c r="F214" s="19">
        <f>SUM(F208:F213)</f>
        <v>3450000</v>
      </c>
    </row>
    <row r="215" spans="1:6" s="4" customFormat="1" ht="15">
      <c r="A215" s="8"/>
      <c r="B215" s="54"/>
      <c r="C215" s="54"/>
      <c r="D215" s="54"/>
      <c r="E215" s="54"/>
      <c r="F215" s="54"/>
    </row>
    <row r="216" spans="1:6" s="4" customFormat="1" ht="17.25">
      <c r="A216" s="7" t="s">
        <v>23</v>
      </c>
      <c r="B216" s="20">
        <f>B16+B25+B34+B43+B52+B61+B70+B79+B88+B97+B106+B115+B124+B133+B142+B151+B160+B169+B178+B187+B196+B205+B214</f>
        <v>256028363</v>
      </c>
      <c r="C216" s="20">
        <f>C16+C25+C34+C43+C52+C61+C70+C79+C88+C97+C106+C115+C124+C133+C142+C151+C160+C169+C178+C187+C196+C205+C214</f>
        <v>18814231.699999999</v>
      </c>
      <c r="D216" s="20">
        <f>D16+D25+D34+D43+D52+D61+D70+D79+D88+D97+D106+D115+D124+D133+D142+D151+D160+D169+D178+D187+D196+D205+D214</f>
        <v>83484994</v>
      </c>
      <c r="E216" s="20">
        <f>E16+E25+E34+E43+E52+E61+E70+E79+E88+E97+E106+E115+E124+E133+E142+E151+E160+E169+E178+E187+E196+E205+E214</f>
        <v>187624967.40000001</v>
      </c>
      <c r="F216" s="20">
        <f>F16+F25+F34+F43+F52+F61+F70+F79+F88+F97+F106+F115+F124+F133+F142+F151+F160+F169+F178+F187+F196+F205+F214</f>
        <v>545952556.10000002</v>
      </c>
    </row>
    <row r="217" spans="1:6" s="4" customFormat="1" ht="15">
      <c r="A217" s="7"/>
      <c r="B217" s="6"/>
      <c r="C217" s="6"/>
      <c r="D217" s="6"/>
      <c r="E217" s="6"/>
      <c r="F217" s="6"/>
    </row>
    <row r="218" spans="1:6" s="4" customFormat="1" ht="15">
      <c r="A218" s="7"/>
      <c r="B218" s="6"/>
      <c r="C218" s="6"/>
      <c r="D218" s="6"/>
      <c r="E218" s="6"/>
      <c r="F218" s="6"/>
    </row>
    <row r="219" spans="1:6" s="4" customFormat="1" ht="15">
      <c r="A219" s="7"/>
      <c r="B219" s="6"/>
      <c r="C219" s="6"/>
      <c r="D219" s="6"/>
      <c r="E219" s="6"/>
      <c r="F219" s="6"/>
    </row>
    <row r="220" spans="1:6" s="4" customFormat="1" ht="15">
      <c r="A220" s="7" t="s">
        <v>61</v>
      </c>
      <c r="B220" s="17"/>
      <c r="C220" s="17"/>
      <c r="D220" s="17"/>
      <c r="E220" s="17"/>
      <c r="F220" s="17"/>
    </row>
    <row r="221" spans="1:6" s="4" customFormat="1" ht="15">
      <c r="A221" s="8" t="s">
        <v>35</v>
      </c>
      <c r="B221" s="6">
        <f t="shared" ref="B221:F226" si="22">B10+B19+B28+B37+B46+B55+B64+B73+B82+B91+B100+B109+B118+B127+B136+B145+B154+B181+B163+B172+B190+B199+B208</f>
        <v>193984727</v>
      </c>
      <c r="C221" s="6">
        <f t="shared" si="22"/>
        <v>4047561.74</v>
      </c>
      <c r="D221" s="6">
        <f t="shared" si="22"/>
        <v>0</v>
      </c>
      <c r="E221" s="6">
        <f t="shared" si="22"/>
        <v>1154046</v>
      </c>
      <c r="F221" s="6">
        <f t="shared" si="22"/>
        <v>199186334.74000001</v>
      </c>
    </row>
    <row r="222" spans="1:6" s="4" customFormat="1" ht="15">
      <c r="A222" s="8" t="s">
        <v>36</v>
      </c>
      <c r="B222" s="6">
        <f t="shared" si="22"/>
        <v>42366053</v>
      </c>
      <c r="C222" s="6">
        <f t="shared" si="22"/>
        <v>10649609.640000001</v>
      </c>
      <c r="D222" s="6">
        <f t="shared" si="22"/>
        <v>0</v>
      </c>
      <c r="E222" s="6">
        <f t="shared" si="22"/>
        <v>0</v>
      </c>
      <c r="F222" s="6">
        <f t="shared" si="22"/>
        <v>53015662.640000001</v>
      </c>
    </row>
    <row r="223" spans="1:6" s="4" customFormat="1" ht="15">
      <c r="A223" s="8" t="s">
        <v>37</v>
      </c>
      <c r="B223" s="6">
        <f t="shared" si="22"/>
        <v>9904020</v>
      </c>
      <c r="C223" s="6">
        <f t="shared" si="22"/>
        <v>984284.39000000013</v>
      </c>
      <c r="D223" s="6">
        <f t="shared" si="22"/>
        <v>0</v>
      </c>
      <c r="E223" s="6">
        <f t="shared" si="22"/>
        <v>38613216.100000001</v>
      </c>
      <c r="F223" s="6">
        <f t="shared" si="22"/>
        <v>49501520.490000002</v>
      </c>
    </row>
    <row r="224" spans="1:6" s="4" customFormat="1" ht="15">
      <c r="A224" s="8" t="s">
        <v>38</v>
      </c>
      <c r="B224" s="6">
        <f t="shared" si="22"/>
        <v>6923130</v>
      </c>
      <c r="C224" s="6">
        <f t="shared" si="22"/>
        <v>3023418.1799999997</v>
      </c>
      <c r="D224" s="6">
        <f t="shared" si="22"/>
        <v>0</v>
      </c>
      <c r="E224" s="6">
        <f t="shared" si="22"/>
        <v>25000</v>
      </c>
      <c r="F224" s="6">
        <f t="shared" si="22"/>
        <v>9971548.1799999997</v>
      </c>
    </row>
    <row r="225" spans="1:6" s="4" customFormat="1" ht="15">
      <c r="A225" s="8" t="s">
        <v>39</v>
      </c>
      <c r="B225" s="6">
        <f t="shared" si="22"/>
        <v>0</v>
      </c>
      <c r="C225" s="6">
        <f t="shared" si="22"/>
        <v>0</v>
      </c>
      <c r="D225" s="6">
        <f t="shared" si="22"/>
        <v>83484994</v>
      </c>
      <c r="E225" s="6">
        <f t="shared" si="22"/>
        <v>0</v>
      </c>
      <c r="F225" s="6">
        <f t="shared" si="22"/>
        <v>83484994</v>
      </c>
    </row>
    <row r="226" spans="1:6" s="4" customFormat="1" ht="17.25">
      <c r="A226" s="8" t="s">
        <v>40</v>
      </c>
      <c r="B226" s="19">
        <f t="shared" si="22"/>
        <v>2850433</v>
      </c>
      <c r="C226" s="19">
        <f t="shared" si="22"/>
        <v>109357.75</v>
      </c>
      <c r="D226" s="19">
        <f t="shared" si="22"/>
        <v>0</v>
      </c>
      <c r="E226" s="19">
        <f t="shared" si="22"/>
        <v>147832705.30000001</v>
      </c>
      <c r="F226" s="19">
        <f t="shared" si="22"/>
        <v>150792496.05000001</v>
      </c>
    </row>
    <row r="227" spans="1:6" s="4" customFormat="1" ht="17.25">
      <c r="A227" s="8"/>
      <c r="B227" s="19"/>
      <c r="C227" s="54"/>
      <c r="D227" s="54"/>
      <c r="E227" s="54"/>
      <c r="F227" s="54"/>
    </row>
    <row r="228" spans="1:6" s="4" customFormat="1" ht="15">
      <c r="A228" s="7" t="s">
        <v>23</v>
      </c>
      <c r="B228" s="54">
        <f>SUM(B221:B226)</f>
        <v>256028363</v>
      </c>
      <c r="C228" s="54">
        <f>SUM(C221:C226)</f>
        <v>18814231.700000003</v>
      </c>
      <c r="D228" s="54">
        <f>SUM(D221:D226)</f>
        <v>83484994</v>
      </c>
      <c r="E228" s="54">
        <f>SUM(E221:E226)</f>
        <v>187624967.40000001</v>
      </c>
      <c r="F228" s="54">
        <f>SUM(F221:F226)</f>
        <v>545952556.10000002</v>
      </c>
    </row>
    <row r="229" spans="1:6" s="4" customFormat="1" ht="15">
      <c r="A229" s="8"/>
      <c r="B229" s="8"/>
      <c r="C229" s="8"/>
      <c r="D229" s="8"/>
      <c r="E229" s="8"/>
      <c r="F229" s="8"/>
    </row>
    <row r="230" spans="1:6" s="4" customFormat="1" ht="15">
      <c r="A230" s="8"/>
      <c r="B230" s="8"/>
      <c r="C230" s="8"/>
      <c r="D230" s="8"/>
      <c r="E230" s="8"/>
      <c r="F230" s="9"/>
    </row>
    <row r="231" spans="1:6" s="4" customFormat="1" ht="15">
      <c r="A231" s="8"/>
      <c r="B231" s="8"/>
      <c r="C231" s="8"/>
      <c r="D231" s="8"/>
      <c r="E231" s="8"/>
      <c r="F231" s="8"/>
    </row>
    <row r="232" spans="1:6" s="4" customFormat="1" ht="15">
      <c r="A232" s="7"/>
      <c r="B232" s="8"/>
      <c r="C232" s="8"/>
      <c r="D232" s="8"/>
      <c r="E232" s="8"/>
      <c r="F232" s="8"/>
    </row>
    <row r="233" spans="1:6" s="4" customFormat="1" ht="15">
      <c r="A233" s="8"/>
      <c r="B233" s="8"/>
      <c r="C233" s="8"/>
      <c r="D233" s="8"/>
      <c r="E233" s="8"/>
      <c r="F233" s="8"/>
    </row>
    <row r="234" spans="1:6" s="4" customFormat="1" ht="15">
      <c r="A234" s="8"/>
      <c r="B234" s="8"/>
      <c r="C234" s="8"/>
      <c r="D234" s="8"/>
      <c r="E234" s="8"/>
      <c r="F234" s="8"/>
    </row>
    <row r="235" spans="1:6" s="4" customFormat="1" ht="15">
      <c r="A235" s="8"/>
      <c r="B235" s="8"/>
      <c r="C235" s="8"/>
      <c r="D235" s="8"/>
      <c r="E235" s="8"/>
      <c r="F235" s="8"/>
    </row>
    <row r="236" spans="1:6" s="4" customFormat="1" ht="15">
      <c r="A236" s="8"/>
      <c r="B236" s="8"/>
      <c r="C236" s="8"/>
      <c r="D236" s="8"/>
      <c r="E236" s="8"/>
      <c r="F236" s="8"/>
    </row>
    <row r="237" spans="1:6" s="4" customFormat="1" ht="15">
      <c r="A237" s="8"/>
      <c r="B237" s="8"/>
      <c r="C237" s="8"/>
      <c r="D237" s="8"/>
      <c r="E237" s="8"/>
      <c r="F237" s="8"/>
    </row>
    <row r="238" spans="1:6" s="4" customFormat="1" ht="15">
      <c r="A238" s="8"/>
      <c r="B238" s="8"/>
      <c r="C238" s="8"/>
      <c r="D238" s="8"/>
      <c r="E238" s="8"/>
      <c r="F238" s="8"/>
    </row>
    <row r="239" spans="1:6" s="4" customFormat="1" ht="15">
      <c r="A239" s="8"/>
      <c r="B239" s="8"/>
      <c r="C239" s="8"/>
      <c r="D239" s="8"/>
      <c r="E239" s="8"/>
      <c r="F239" s="8"/>
    </row>
    <row r="240" spans="1:6" s="4" customFormat="1" ht="15">
      <c r="A240" s="8"/>
      <c r="B240" s="8"/>
      <c r="C240" s="8"/>
      <c r="D240" s="8"/>
      <c r="E240" s="8"/>
      <c r="F240" s="8"/>
    </row>
    <row r="241" spans="1:6" s="4" customFormat="1" ht="15">
      <c r="A241" s="8"/>
      <c r="B241" s="8"/>
      <c r="C241" s="8"/>
      <c r="D241" s="8"/>
      <c r="E241" s="8"/>
      <c r="F241" s="8"/>
    </row>
    <row r="242" spans="1:6" s="4" customFormat="1" ht="15">
      <c r="A242" s="8"/>
      <c r="B242" s="8"/>
      <c r="C242" s="8"/>
      <c r="D242" s="8"/>
      <c r="E242" s="8"/>
      <c r="F242" s="8"/>
    </row>
    <row r="243" spans="1:6" s="4" customFormat="1" ht="15">
      <c r="A243" s="8"/>
      <c r="B243" s="8"/>
      <c r="C243" s="8"/>
      <c r="D243" s="8"/>
      <c r="E243" s="8"/>
      <c r="F243" s="8"/>
    </row>
    <row r="244" spans="1:6" s="4" customFormat="1" ht="15">
      <c r="A244" s="8"/>
      <c r="B244" s="8"/>
      <c r="C244" s="8"/>
      <c r="D244" s="8"/>
      <c r="E244" s="8"/>
      <c r="F244" s="8"/>
    </row>
    <row r="245" spans="1:6" s="4" customFormat="1" ht="15">
      <c r="A245" s="8"/>
      <c r="B245" s="8"/>
      <c r="C245" s="8"/>
      <c r="D245" s="8"/>
      <c r="E245" s="8"/>
      <c r="F245" s="8"/>
    </row>
    <row r="246" spans="1:6" s="4" customFormat="1" ht="15">
      <c r="A246" s="8"/>
      <c r="B246" s="8"/>
      <c r="C246" s="8"/>
      <c r="D246" s="8"/>
      <c r="E246" s="8"/>
      <c r="F246" s="8"/>
    </row>
    <row r="247" spans="1:6" s="4" customFormat="1" ht="15">
      <c r="A247" s="3"/>
      <c r="B247" s="3"/>
      <c r="C247" s="3"/>
      <c r="D247" s="3"/>
      <c r="E247" s="3"/>
      <c r="F247" s="3"/>
    </row>
    <row r="248" spans="1:6" s="4" customFormat="1" ht="15">
      <c r="A248" s="3"/>
      <c r="B248" s="3"/>
      <c r="C248" s="3"/>
      <c r="D248" s="3"/>
      <c r="E248" s="3"/>
      <c r="F248" s="3"/>
    </row>
    <row r="249" spans="1:6" s="4" customFormat="1" ht="15">
      <c r="A249" s="3"/>
      <c r="B249" s="3"/>
      <c r="C249" s="3"/>
      <c r="D249" s="3"/>
      <c r="E249" s="3"/>
      <c r="F249" s="3"/>
    </row>
    <row r="250" spans="1:6" s="4" customFormat="1" ht="15">
      <c r="A250" s="3"/>
      <c r="B250" s="3"/>
      <c r="C250" s="3"/>
      <c r="D250" s="3"/>
      <c r="E250" s="3"/>
      <c r="F250" s="3"/>
    </row>
    <row r="251" spans="1:6" s="4" customFormat="1" ht="15">
      <c r="A251" s="8"/>
      <c r="B251" s="8"/>
      <c r="C251" s="8"/>
      <c r="D251" s="8"/>
      <c r="E251" s="8"/>
      <c r="F251" s="8"/>
    </row>
    <row r="252" spans="1:6" s="4" customFormat="1" ht="15">
      <c r="A252" s="8"/>
      <c r="B252" s="8"/>
      <c r="C252" s="11"/>
      <c r="D252" s="3"/>
      <c r="E252" s="3"/>
      <c r="F252" s="3"/>
    </row>
    <row r="253" spans="1:6" s="4" customFormat="1" ht="15">
      <c r="A253" s="8"/>
      <c r="B253" s="11"/>
      <c r="C253" s="11"/>
      <c r="D253" s="11"/>
      <c r="E253" s="11"/>
      <c r="F253" s="11"/>
    </row>
    <row r="254" spans="1:6" s="4" customFormat="1" ht="15">
      <c r="A254" s="8"/>
      <c r="B254" s="8"/>
      <c r="C254" s="8"/>
      <c r="D254" s="8"/>
      <c r="E254" s="8"/>
      <c r="F254" s="8"/>
    </row>
    <row r="255" spans="1:6" s="4" customFormat="1" ht="15">
      <c r="A255" s="8"/>
      <c r="B255" s="8"/>
      <c r="C255" s="8"/>
      <c r="D255" s="8"/>
      <c r="E255" s="8"/>
      <c r="F255" s="8"/>
    </row>
    <row r="256" spans="1:6" s="4" customFormat="1" ht="15">
      <c r="A256" s="8"/>
      <c r="B256" s="8"/>
      <c r="C256" s="8"/>
      <c r="D256" s="8"/>
      <c r="E256" s="8"/>
      <c r="F256" s="8"/>
    </row>
    <row r="257" spans="1:6" s="4" customFormat="1" ht="15">
      <c r="A257" s="8"/>
      <c r="B257" s="8"/>
      <c r="C257" s="8"/>
      <c r="D257" s="8"/>
      <c r="E257" s="8"/>
      <c r="F257" s="8"/>
    </row>
    <row r="258" spans="1:6" s="4" customFormat="1" ht="15">
      <c r="A258" s="8"/>
      <c r="B258" s="8"/>
      <c r="C258" s="8"/>
      <c r="D258" s="8"/>
      <c r="E258" s="8"/>
      <c r="F258" s="8"/>
    </row>
    <row r="259" spans="1:6" s="4" customFormat="1" ht="15">
      <c r="A259" s="8"/>
      <c r="B259" s="8"/>
      <c r="C259" s="8"/>
      <c r="D259" s="8"/>
      <c r="E259" s="8"/>
      <c r="F259" s="8"/>
    </row>
    <row r="260" spans="1:6" s="4" customFormat="1" ht="15">
      <c r="A260" s="8"/>
      <c r="B260" s="8"/>
      <c r="C260" s="8"/>
      <c r="D260" s="8"/>
      <c r="E260" s="8"/>
      <c r="F260" s="8"/>
    </row>
    <row r="261" spans="1:6" s="4" customFormat="1" ht="15">
      <c r="A261" s="8"/>
      <c r="B261" s="8"/>
      <c r="C261" s="8"/>
      <c r="D261" s="8"/>
      <c r="E261" s="8"/>
      <c r="F261" s="8"/>
    </row>
    <row r="262" spans="1:6" s="4" customFormat="1" ht="15">
      <c r="A262" s="8"/>
      <c r="B262" s="8"/>
      <c r="C262" s="8"/>
      <c r="D262" s="8"/>
      <c r="E262" s="8"/>
      <c r="F262" s="8"/>
    </row>
    <row r="263" spans="1:6" s="4" customFormat="1" ht="15">
      <c r="A263" s="8"/>
      <c r="B263" s="8"/>
      <c r="C263" s="8"/>
      <c r="D263" s="8"/>
      <c r="E263" s="8"/>
      <c r="F263" s="8"/>
    </row>
    <row r="264" spans="1:6" s="4" customFormat="1" ht="15">
      <c r="A264" s="12"/>
      <c r="B264" s="12"/>
      <c r="C264" s="12"/>
      <c r="D264" s="12"/>
      <c r="E264" s="12"/>
      <c r="F264" s="12"/>
    </row>
    <row r="265" spans="1:6" s="4" customFormat="1" ht="15">
      <c r="A265" s="8"/>
      <c r="B265" s="8"/>
      <c r="C265" s="8"/>
      <c r="D265" s="8"/>
      <c r="E265" s="8"/>
      <c r="F265" s="8"/>
    </row>
    <row r="266" spans="1:6" s="4" customFormat="1" ht="15">
      <c r="A266" s="8"/>
      <c r="B266" s="8"/>
      <c r="C266" s="8"/>
      <c r="D266" s="8"/>
      <c r="E266" s="8"/>
      <c r="F266" s="8"/>
    </row>
    <row r="267" spans="1:6" s="4" customFormat="1" ht="15">
      <c r="A267" s="8"/>
      <c r="B267" s="13"/>
      <c r="C267" s="13"/>
      <c r="D267" s="8"/>
      <c r="E267" s="8"/>
      <c r="F267" s="8"/>
    </row>
    <row r="268" spans="1:6" s="4" customFormat="1" ht="15">
      <c r="A268" s="8"/>
      <c r="B268" s="13"/>
      <c r="C268" s="8"/>
      <c r="D268" s="8"/>
      <c r="E268" s="8"/>
      <c r="F268" s="8"/>
    </row>
    <row r="269" spans="1:6" s="4" customFormat="1" ht="15">
      <c r="A269" s="8"/>
      <c r="B269" s="13"/>
      <c r="C269" s="8"/>
      <c r="D269" s="8"/>
      <c r="E269" s="8"/>
      <c r="F269" s="8"/>
    </row>
    <row r="270" spans="1:6" s="4" customFormat="1" ht="15">
      <c r="A270" s="8"/>
      <c r="B270" s="13"/>
      <c r="C270" s="8"/>
      <c r="D270" s="8"/>
      <c r="E270" s="8"/>
      <c r="F270" s="8"/>
    </row>
    <row r="271" spans="1:6" s="4" customFormat="1" ht="15">
      <c r="A271" s="8"/>
      <c r="B271" s="8"/>
      <c r="C271" s="8"/>
      <c r="D271" s="8"/>
      <c r="E271" s="8"/>
      <c r="F271" s="8"/>
    </row>
    <row r="272" spans="1:6" s="4" customFormat="1" ht="15">
      <c r="A272" s="8"/>
      <c r="B272" s="8"/>
      <c r="C272" s="8"/>
      <c r="D272" s="8"/>
      <c r="E272" s="8"/>
      <c r="F272" s="8"/>
    </row>
    <row r="273" spans="1:6" s="4" customFormat="1" ht="15">
      <c r="A273" s="8"/>
      <c r="B273" s="13"/>
      <c r="C273" s="8"/>
      <c r="D273" s="8"/>
      <c r="E273" s="8"/>
      <c r="F273" s="8"/>
    </row>
    <row r="274" spans="1:6" s="4" customFormat="1" ht="15">
      <c r="A274" s="8"/>
      <c r="B274" s="8"/>
      <c r="C274" s="8"/>
      <c r="D274" s="8"/>
      <c r="E274" s="8"/>
      <c r="F274" s="8"/>
    </row>
    <row r="275" spans="1:6" s="4" customFormat="1" ht="15">
      <c r="A275" s="8"/>
      <c r="B275" s="8"/>
      <c r="C275" s="8"/>
      <c r="D275" s="8"/>
      <c r="E275" s="8"/>
      <c r="F275" s="8"/>
    </row>
    <row r="276" spans="1:6" s="4" customFormat="1" ht="15">
      <c r="A276" s="8"/>
      <c r="B276" s="8"/>
      <c r="C276" s="8"/>
      <c r="D276" s="8"/>
      <c r="E276" s="8"/>
      <c r="F276" s="8"/>
    </row>
    <row r="277" spans="1:6" s="4" customFormat="1" ht="15">
      <c r="A277" s="8"/>
      <c r="B277" s="8"/>
      <c r="C277" s="8"/>
      <c r="D277" s="8"/>
      <c r="E277" s="8"/>
      <c r="F277" s="8"/>
    </row>
    <row r="278" spans="1:6" s="4" customFormat="1" ht="15">
      <c r="A278" s="8"/>
      <c r="B278" s="13"/>
      <c r="C278" s="8"/>
      <c r="D278" s="8"/>
      <c r="E278" s="8"/>
      <c r="F278" s="8"/>
    </row>
    <row r="279" spans="1:6" s="4" customFormat="1" ht="15">
      <c r="A279" s="8"/>
      <c r="B279" s="13"/>
      <c r="C279" s="8"/>
      <c r="D279" s="8"/>
      <c r="E279" s="8"/>
      <c r="F279" s="8"/>
    </row>
    <row r="280" spans="1:6" s="4" customFormat="1" ht="15">
      <c r="A280" s="8"/>
      <c r="B280" s="13"/>
      <c r="C280" s="13"/>
      <c r="D280" s="8"/>
      <c r="E280" s="8"/>
      <c r="F280" s="8"/>
    </row>
    <row r="281" spans="1:6" s="4" customFormat="1" ht="15">
      <c r="A281" s="8"/>
      <c r="B281" s="13"/>
      <c r="C281" s="8"/>
      <c r="D281" s="8"/>
      <c r="E281" s="8"/>
      <c r="F281" s="8"/>
    </row>
    <row r="282" spans="1:6" s="4" customFormat="1" ht="15">
      <c r="A282" s="8"/>
      <c r="B282" s="13"/>
      <c r="C282" s="13"/>
      <c r="D282" s="8"/>
      <c r="E282" s="8"/>
      <c r="F282" s="8"/>
    </row>
    <row r="283" spans="1:6" s="4" customFormat="1" ht="15"/>
    <row r="284" spans="1:6" s="4" customFormat="1" ht="15"/>
    <row r="285" spans="1:6" s="4" customFormat="1" ht="15"/>
    <row r="286" spans="1:6" s="4" customFormat="1" ht="15"/>
    <row r="287" spans="1:6" s="4" customFormat="1" ht="15"/>
    <row r="288" spans="1:6" s="4" customFormat="1" ht="15"/>
    <row r="289" s="4" customFormat="1" ht="15"/>
    <row r="290" s="4" customFormat="1" ht="15"/>
    <row r="291" s="4" customFormat="1" ht="15"/>
    <row r="292" s="4" customFormat="1" ht="15"/>
    <row r="293" s="4" customFormat="1" ht="15"/>
    <row r="294" s="4" customFormat="1" ht="15"/>
    <row r="295" s="4" customFormat="1" ht="15"/>
    <row r="296" s="4" customFormat="1" ht="15"/>
    <row r="297" s="4" customFormat="1" ht="15"/>
    <row r="298" s="4" customFormat="1" ht="15"/>
    <row r="299" s="4" customFormat="1" ht="15"/>
    <row r="300" s="4" customFormat="1" ht="15"/>
    <row r="301" s="4" customFormat="1" ht="15"/>
    <row r="302" s="4" customFormat="1" ht="15"/>
    <row r="303" s="4" customFormat="1" ht="15"/>
    <row r="304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  <row r="1023" s="4" customFormat="1" ht="15"/>
    <row r="1024" s="4" customFormat="1" ht="15"/>
    <row r="1025" s="4" customFormat="1" ht="15"/>
    <row r="1026" s="4" customFormat="1" ht="15"/>
    <row r="1027" s="4" customFormat="1" ht="15"/>
    <row r="1028" s="4" customFormat="1" ht="15"/>
    <row r="1029" s="4" customFormat="1" ht="15"/>
    <row r="1030" s="4" customFormat="1" ht="15"/>
    <row r="1031" s="4" customFormat="1" ht="15"/>
    <row r="1032" s="4" customFormat="1" ht="15"/>
    <row r="1033" s="4" customFormat="1" ht="15"/>
    <row r="1034" s="4" customFormat="1" ht="15"/>
    <row r="1035" s="4" customFormat="1" ht="15"/>
    <row r="1036" s="4" customFormat="1" ht="15"/>
    <row r="1037" s="4" customFormat="1" ht="15"/>
    <row r="1038" s="4" customFormat="1" ht="15"/>
    <row r="1039" s="4" customFormat="1" ht="15"/>
    <row r="1040" s="4" customFormat="1" ht="15"/>
    <row r="1041" s="4" customFormat="1" ht="15"/>
    <row r="1042" s="4" customFormat="1" ht="15"/>
    <row r="1043" s="4" customFormat="1" ht="15"/>
    <row r="1044" s="4" customFormat="1" ht="15"/>
    <row r="1045" s="4" customFormat="1" ht="15"/>
    <row r="1046" s="4" customFormat="1" ht="15"/>
    <row r="1047" s="4" customFormat="1" ht="15"/>
    <row r="1048" s="4" customFormat="1" ht="15"/>
    <row r="1049" s="4" customFormat="1" ht="15"/>
    <row r="1050" s="4" customFormat="1" ht="15"/>
    <row r="1051" s="4" customFormat="1" ht="15"/>
    <row r="1052" s="4" customFormat="1" ht="15"/>
    <row r="1053" s="4" customFormat="1" ht="15"/>
    <row r="1054" s="4" customFormat="1" ht="15"/>
    <row r="1055" s="4" customFormat="1" ht="15"/>
    <row r="1056" s="4" customFormat="1" ht="15"/>
    <row r="1057" s="4" customFormat="1" ht="15"/>
    <row r="1058" s="4" customFormat="1" ht="15"/>
    <row r="1059" s="4" customFormat="1" ht="15"/>
    <row r="1060" s="4" customFormat="1" ht="15"/>
    <row r="1061" s="4" customFormat="1" ht="15"/>
    <row r="1062" s="4" customFormat="1" ht="15"/>
    <row r="1063" s="4" customFormat="1" ht="15"/>
    <row r="1064" s="4" customFormat="1" ht="15"/>
    <row r="1065" s="4" customFormat="1" ht="15"/>
    <row r="1066" s="4" customFormat="1" ht="15"/>
    <row r="1067" s="4" customFormat="1" ht="15"/>
    <row r="1068" s="4" customFormat="1" ht="15"/>
    <row r="1069" s="4" customFormat="1" ht="15"/>
    <row r="1070" s="4" customFormat="1" ht="15"/>
    <row r="1071" s="4" customFormat="1" ht="15"/>
    <row r="1072" s="4" customFormat="1" ht="15"/>
    <row r="1073" s="4" customFormat="1" ht="15"/>
    <row r="1074" s="4" customFormat="1" ht="15"/>
    <row r="1075" s="4" customFormat="1" ht="15"/>
    <row r="1076" s="4" customFormat="1" ht="15"/>
    <row r="1077" s="4" customFormat="1" ht="15"/>
    <row r="1078" s="4" customFormat="1" ht="15"/>
    <row r="1079" s="4" customFormat="1" ht="15"/>
    <row r="1080" s="4" customFormat="1" ht="15"/>
    <row r="1081" s="4" customFormat="1" ht="15"/>
    <row r="1082" s="4" customFormat="1" ht="15"/>
    <row r="1083" s="4" customFormat="1" ht="15"/>
    <row r="1084" s="4" customFormat="1" ht="15"/>
    <row r="1085" s="4" customFormat="1" ht="15"/>
    <row r="1086" s="4" customFormat="1" ht="15"/>
    <row r="1087" s="4" customFormat="1" ht="15"/>
    <row r="1088" s="4" customFormat="1" ht="15"/>
    <row r="1089" s="4" customFormat="1" ht="15"/>
    <row r="1090" s="4" customFormat="1" ht="15"/>
    <row r="1091" s="4" customFormat="1" ht="15"/>
    <row r="1092" s="4" customFormat="1" ht="15"/>
    <row r="1093" s="4" customFormat="1" ht="15"/>
    <row r="1094" s="4" customFormat="1" ht="15"/>
    <row r="1095" s="4" customFormat="1" ht="15"/>
    <row r="1096" s="4" customFormat="1" ht="15"/>
    <row r="1097" s="4" customFormat="1" ht="15"/>
    <row r="1098" s="4" customFormat="1" ht="15"/>
    <row r="1099" s="4" customFormat="1" ht="15"/>
    <row r="1100" s="4" customFormat="1" ht="15"/>
    <row r="1101" s="4" customFormat="1" ht="15"/>
    <row r="1102" s="4" customFormat="1" ht="15"/>
    <row r="1103" s="4" customFormat="1" ht="15"/>
    <row r="1104" s="4" customFormat="1" ht="15"/>
    <row r="1105" s="4" customFormat="1" ht="15"/>
    <row r="1106" s="4" customFormat="1" ht="15"/>
    <row r="1107" s="4" customFormat="1" ht="15"/>
    <row r="1108" s="4" customFormat="1" ht="15"/>
    <row r="1109" s="4" customFormat="1" ht="15"/>
    <row r="1110" s="4" customFormat="1" ht="15"/>
    <row r="1111" s="4" customFormat="1" ht="15"/>
    <row r="1112" s="4" customFormat="1" ht="15"/>
    <row r="1113" s="4" customFormat="1" ht="15"/>
    <row r="1114" s="4" customFormat="1" ht="15"/>
    <row r="1115" s="4" customFormat="1" ht="15"/>
    <row r="1116" s="4" customFormat="1" ht="15"/>
    <row r="1117" s="4" customFormat="1" ht="15"/>
    <row r="1118" s="4" customFormat="1" ht="15"/>
    <row r="1119" s="4" customFormat="1" ht="15"/>
    <row r="1120" s="4" customFormat="1" ht="15"/>
    <row r="1121" s="4" customFormat="1" ht="15"/>
    <row r="1122" s="4" customFormat="1" ht="15"/>
    <row r="1123" s="4" customFormat="1" ht="15"/>
    <row r="1124" s="4" customFormat="1" ht="15"/>
    <row r="1125" s="4" customFormat="1" ht="15"/>
    <row r="1126" s="4" customFormat="1" ht="15"/>
    <row r="1127" s="4" customFormat="1" ht="15"/>
    <row r="1128" s="4" customFormat="1" ht="15"/>
    <row r="1129" s="4" customFormat="1" ht="15"/>
    <row r="1130" s="4" customFormat="1" ht="15"/>
    <row r="1131" s="4" customFormat="1" ht="15"/>
    <row r="1132" s="4" customFormat="1" ht="15"/>
    <row r="1133" s="4" customFormat="1" ht="15"/>
    <row r="1134" s="4" customFormat="1" ht="15"/>
    <row r="1135" s="4" customFormat="1" ht="15"/>
    <row r="1136" s="4" customFormat="1" ht="15"/>
    <row r="1137" s="4" customFormat="1" ht="15"/>
    <row r="1138" s="4" customFormat="1" ht="15"/>
    <row r="1139" s="4" customFormat="1" ht="15"/>
    <row r="1140" s="4" customFormat="1" ht="15"/>
    <row r="1141" s="4" customFormat="1" ht="15"/>
    <row r="1142" s="4" customFormat="1" ht="15"/>
    <row r="1143" s="4" customFormat="1" ht="15"/>
    <row r="1144" s="4" customFormat="1" ht="15"/>
    <row r="1145" s="4" customFormat="1" ht="15"/>
    <row r="1146" s="4" customFormat="1" ht="15"/>
    <row r="1147" s="4" customFormat="1" ht="15"/>
    <row r="1148" s="4" customFormat="1" ht="15"/>
    <row r="1149" s="4" customFormat="1" ht="15"/>
    <row r="1150" s="4" customFormat="1" ht="15"/>
    <row r="1151" s="4" customFormat="1" ht="15"/>
    <row r="1152" s="4" customFormat="1" ht="15"/>
    <row r="1153" s="4" customFormat="1" ht="15"/>
    <row r="1154" s="4" customFormat="1" ht="15"/>
    <row r="1155" s="4" customFormat="1" ht="15"/>
    <row r="1156" s="4" customFormat="1" ht="15"/>
    <row r="1157" s="4" customFormat="1" ht="15"/>
    <row r="1158" s="4" customFormat="1" ht="15"/>
    <row r="1159" s="4" customFormat="1" ht="15"/>
    <row r="1160" s="4" customFormat="1" ht="15"/>
    <row r="1161" s="4" customFormat="1" ht="15"/>
    <row r="1162" s="4" customFormat="1" ht="15"/>
    <row r="1163" s="4" customFormat="1" ht="15"/>
    <row r="1164" s="4" customFormat="1" ht="15"/>
    <row r="1165" s="4" customFormat="1" ht="15"/>
    <row r="1166" s="4" customFormat="1" ht="15"/>
    <row r="1167" s="4" customFormat="1" ht="15"/>
    <row r="1168" s="4" customFormat="1" ht="15"/>
    <row r="1169" s="4" customFormat="1" ht="15"/>
    <row r="1170" s="4" customFormat="1" ht="15"/>
    <row r="1171" s="4" customFormat="1" ht="15"/>
    <row r="1172" s="4" customFormat="1" ht="15"/>
    <row r="1173" s="4" customFormat="1" ht="15"/>
    <row r="1174" s="4" customFormat="1" ht="15"/>
    <row r="1175" s="4" customFormat="1" ht="15"/>
    <row r="1176" s="4" customFormat="1" ht="15"/>
    <row r="1177" s="4" customFormat="1" ht="15"/>
    <row r="1178" s="4" customFormat="1" ht="15"/>
    <row r="1179" s="4" customFormat="1" ht="15"/>
    <row r="1180" s="4" customFormat="1" ht="15"/>
    <row r="1181" s="4" customFormat="1" ht="15"/>
    <row r="1182" s="4" customFormat="1" ht="15"/>
    <row r="1183" s="4" customFormat="1" ht="15"/>
    <row r="1184" s="4" customFormat="1" ht="15"/>
    <row r="1185" s="4" customFormat="1" ht="15"/>
    <row r="1186" s="4" customFormat="1" ht="15"/>
    <row r="1187" s="4" customFormat="1" ht="15"/>
    <row r="1188" s="4" customFormat="1" ht="15"/>
    <row r="1189" s="4" customFormat="1" ht="15"/>
    <row r="1190" s="4" customFormat="1" ht="15"/>
    <row r="1191" s="4" customFormat="1" ht="15"/>
    <row r="1192" s="4" customFormat="1" ht="15"/>
    <row r="1193" s="4" customFormat="1" ht="15"/>
    <row r="1194" s="4" customFormat="1" ht="15"/>
    <row r="1195" s="4" customFormat="1" ht="15"/>
    <row r="1196" s="4" customFormat="1" ht="15"/>
    <row r="1197" s="4" customFormat="1" ht="15"/>
    <row r="1198" s="4" customFormat="1" ht="15"/>
    <row r="1199" s="4" customFormat="1" ht="15"/>
    <row r="1200" s="4" customFormat="1" ht="15"/>
    <row r="1201" s="4" customFormat="1" ht="15"/>
    <row r="1202" s="4" customFormat="1" ht="15"/>
    <row r="1203" s="4" customFormat="1" ht="15"/>
    <row r="1204" s="4" customFormat="1" ht="15"/>
    <row r="1205" s="4" customFormat="1" ht="15"/>
    <row r="1206" s="4" customFormat="1" ht="15"/>
    <row r="1207" s="4" customFormat="1" ht="15"/>
    <row r="1208" s="4" customFormat="1" ht="15"/>
    <row r="1209" s="4" customFormat="1" ht="15"/>
    <row r="1210" s="4" customFormat="1" ht="15"/>
    <row r="1211" s="4" customFormat="1" ht="15"/>
    <row r="1212" s="4" customFormat="1" ht="15"/>
    <row r="1213" s="4" customFormat="1" ht="15"/>
    <row r="1214" s="4" customFormat="1" ht="15"/>
    <row r="1215" s="4" customFormat="1" ht="15"/>
    <row r="1216" s="4" customFormat="1" ht="15"/>
    <row r="1217" s="4" customFormat="1" ht="15"/>
    <row r="1218" s="4" customFormat="1" ht="15"/>
    <row r="1219" s="4" customFormat="1" ht="15"/>
    <row r="1220" s="4" customFormat="1" ht="15"/>
    <row r="1221" s="4" customFormat="1" ht="15"/>
    <row r="1222" s="4" customFormat="1" ht="15"/>
    <row r="1223" s="4" customFormat="1" ht="15"/>
    <row r="1224" s="4" customFormat="1" ht="15"/>
    <row r="1225" s="4" customFormat="1" ht="15"/>
    <row r="1226" s="4" customFormat="1" ht="15"/>
    <row r="1227" s="4" customFormat="1" ht="15"/>
    <row r="1228" s="4" customFormat="1" ht="15"/>
    <row r="1229" s="4" customFormat="1" ht="15"/>
    <row r="1230" s="4" customFormat="1" ht="15"/>
    <row r="1231" s="4" customFormat="1" ht="15"/>
    <row r="1232" s="4" customFormat="1" ht="15"/>
    <row r="1233" s="4" customFormat="1" ht="15"/>
    <row r="1234" s="4" customFormat="1" ht="15"/>
    <row r="1235" s="4" customFormat="1" ht="15"/>
    <row r="1236" s="4" customFormat="1" ht="15"/>
    <row r="1237" s="4" customFormat="1" ht="15"/>
    <row r="1238" s="4" customFormat="1" ht="15"/>
    <row r="1239" s="4" customFormat="1" ht="15"/>
    <row r="1240" s="4" customFormat="1" ht="15"/>
    <row r="1241" s="4" customFormat="1" ht="15"/>
    <row r="1242" s="4" customFormat="1" ht="15"/>
    <row r="1243" s="4" customFormat="1" ht="15"/>
    <row r="1244" s="4" customFormat="1" ht="15"/>
    <row r="1245" s="4" customFormat="1" ht="15"/>
    <row r="1246" s="4" customFormat="1" ht="15"/>
    <row r="1247" s="4" customFormat="1" ht="15"/>
    <row r="1248" s="4" customFormat="1" ht="15"/>
    <row r="1249" s="4" customFormat="1" ht="15"/>
    <row r="1250" s="4" customFormat="1" ht="15"/>
    <row r="1251" s="4" customFormat="1" ht="15"/>
    <row r="1252" s="4" customFormat="1" ht="15"/>
    <row r="1253" s="4" customFormat="1" ht="15"/>
    <row r="1254" s="4" customFormat="1" ht="15"/>
    <row r="1255" s="4" customFormat="1" ht="15"/>
    <row r="1256" s="4" customFormat="1" ht="15"/>
    <row r="1257" s="4" customFormat="1" ht="15"/>
    <row r="1258" s="4" customFormat="1" ht="15"/>
    <row r="1259" s="4" customFormat="1" ht="15"/>
    <row r="1260" s="4" customFormat="1" ht="15"/>
    <row r="1261" s="4" customFormat="1" ht="15"/>
    <row r="1262" s="4" customFormat="1" ht="15"/>
    <row r="1263" s="4" customFormat="1" ht="15"/>
    <row r="1264" s="4" customFormat="1" ht="15"/>
    <row r="1265" s="4" customFormat="1" ht="15"/>
    <row r="1266" s="4" customFormat="1" ht="15"/>
    <row r="1267" s="4" customFormat="1" ht="15"/>
    <row r="1268" s="4" customFormat="1" ht="15"/>
    <row r="1269" s="4" customFormat="1" ht="15"/>
    <row r="1270" s="4" customFormat="1" ht="15"/>
    <row r="1271" s="4" customFormat="1" ht="15"/>
    <row r="1272" s="4" customFormat="1" ht="15"/>
    <row r="1273" s="4" customFormat="1" ht="15"/>
    <row r="1274" s="4" customFormat="1" ht="15"/>
    <row r="1275" s="4" customFormat="1" ht="15"/>
    <row r="1276" s="4" customFormat="1" ht="15"/>
    <row r="1277" s="4" customFormat="1" ht="15"/>
    <row r="1278" s="4" customFormat="1" ht="15"/>
    <row r="1279" s="4" customFormat="1" ht="15"/>
    <row r="1280" s="4" customFormat="1" ht="15"/>
    <row r="1281" s="4" customFormat="1" ht="15"/>
    <row r="1282" s="4" customFormat="1" ht="15"/>
    <row r="1283" s="4" customFormat="1" ht="15"/>
    <row r="1284" s="4" customFormat="1" ht="15"/>
    <row r="1285" s="4" customFormat="1" ht="15"/>
    <row r="1286" s="4" customFormat="1" ht="15"/>
    <row r="1287" s="4" customFormat="1" ht="15"/>
    <row r="1288" s="4" customFormat="1" ht="15"/>
    <row r="1289" s="4" customFormat="1" ht="15"/>
    <row r="1290" s="4" customFormat="1" ht="15"/>
    <row r="1291" s="4" customFormat="1" ht="15"/>
    <row r="1292" s="4" customFormat="1" ht="15"/>
    <row r="1293" s="4" customFormat="1" ht="15"/>
    <row r="1294" s="4" customFormat="1" ht="15"/>
    <row r="1295" s="4" customFormat="1" ht="15"/>
    <row r="1296" s="4" customFormat="1" ht="15"/>
    <row r="1297" s="4" customFormat="1" ht="15"/>
    <row r="1298" s="4" customFormat="1" ht="15"/>
    <row r="1299" s="4" customFormat="1" ht="15"/>
    <row r="1300" s="4" customFormat="1" ht="15"/>
    <row r="1301" s="4" customFormat="1" ht="15"/>
    <row r="1302" s="4" customFormat="1" ht="15"/>
    <row r="1303" s="4" customFormat="1" ht="15"/>
    <row r="1304" s="4" customFormat="1" ht="15"/>
    <row r="1305" s="4" customFormat="1" ht="15"/>
    <row r="1306" s="4" customFormat="1" ht="15"/>
    <row r="1307" s="4" customFormat="1" ht="15"/>
    <row r="1308" s="4" customFormat="1" ht="15"/>
    <row r="1309" s="4" customFormat="1" ht="15"/>
    <row r="1310" s="4" customFormat="1" ht="15"/>
    <row r="1311" s="4" customFormat="1" ht="15"/>
    <row r="1312" s="4" customFormat="1" ht="15"/>
    <row r="1313" s="4" customFormat="1" ht="15"/>
    <row r="1314" s="4" customFormat="1" ht="15"/>
    <row r="1315" s="4" customFormat="1" ht="15"/>
    <row r="1316" s="4" customFormat="1" ht="15"/>
    <row r="1317" s="4" customFormat="1" ht="15"/>
    <row r="1318" s="4" customFormat="1" ht="15"/>
    <row r="1319" s="4" customFormat="1" ht="15"/>
    <row r="1320" s="4" customFormat="1" ht="15"/>
    <row r="1321" s="4" customFormat="1" ht="15"/>
    <row r="1322" s="4" customFormat="1" ht="15"/>
    <row r="1323" s="4" customFormat="1" ht="15"/>
    <row r="1324" s="4" customFormat="1" ht="15"/>
    <row r="1325" s="4" customFormat="1" ht="15"/>
    <row r="1326" s="4" customFormat="1" ht="15"/>
    <row r="1327" s="4" customFormat="1" ht="15"/>
    <row r="1328" s="4" customFormat="1" ht="15"/>
    <row r="1329" s="4" customFormat="1" ht="15"/>
    <row r="1330" s="4" customFormat="1" ht="15"/>
    <row r="1331" s="4" customFormat="1" ht="15"/>
    <row r="1332" s="4" customFormat="1" ht="15"/>
    <row r="1333" s="4" customFormat="1" ht="15"/>
    <row r="1334" s="4" customFormat="1" ht="15"/>
    <row r="1335" s="4" customFormat="1" ht="15"/>
    <row r="1336" s="4" customFormat="1" ht="15"/>
    <row r="1337" s="4" customFormat="1" ht="15"/>
    <row r="1338" s="4" customFormat="1" ht="15"/>
    <row r="1339" s="4" customFormat="1" ht="15"/>
    <row r="1340" s="4" customFormat="1" ht="15"/>
    <row r="1341" s="4" customFormat="1" ht="15"/>
    <row r="1342" s="4" customFormat="1" ht="15"/>
    <row r="1343" s="4" customFormat="1" ht="15"/>
    <row r="1344" s="4" customFormat="1" ht="15"/>
    <row r="1345" s="4" customFormat="1" ht="15"/>
    <row r="1346" s="4" customFormat="1" ht="15"/>
    <row r="1347" s="4" customFormat="1" ht="15"/>
    <row r="1348" s="4" customFormat="1" ht="15"/>
    <row r="1349" s="4" customFormat="1" ht="15"/>
    <row r="1350" s="4" customFormat="1" ht="15"/>
    <row r="1351" s="4" customFormat="1" ht="15"/>
    <row r="1352" s="4" customFormat="1" ht="15"/>
    <row r="1353" s="4" customFormat="1" ht="15"/>
    <row r="1354" s="4" customFormat="1" ht="15"/>
    <row r="1355" s="4" customFormat="1" ht="15"/>
    <row r="1356" s="4" customFormat="1" ht="15"/>
    <row r="1357" s="4" customFormat="1" ht="15"/>
    <row r="1358" s="4" customFormat="1" ht="15"/>
    <row r="1359" s="4" customFormat="1" ht="15"/>
    <row r="1360" s="4" customFormat="1" ht="15"/>
    <row r="1361" s="4" customFormat="1" ht="15"/>
    <row r="1362" s="4" customFormat="1" ht="15"/>
    <row r="1363" s="4" customFormat="1" ht="15"/>
    <row r="1364" s="4" customFormat="1" ht="15"/>
    <row r="1365" s="4" customFormat="1" ht="15"/>
    <row r="1366" s="4" customFormat="1" ht="15"/>
    <row r="1367" s="4" customFormat="1" ht="15"/>
    <row r="1368" s="4" customFormat="1" ht="15"/>
    <row r="1369" s="4" customFormat="1" ht="15"/>
    <row r="1370" s="4" customFormat="1" ht="15"/>
    <row r="1371" s="4" customFormat="1" ht="15"/>
    <row r="1372" s="4" customFormat="1" ht="15"/>
    <row r="1373" s="4" customFormat="1" ht="15"/>
    <row r="1374" s="4" customFormat="1" ht="15"/>
    <row r="1375" s="4" customFormat="1" ht="15"/>
    <row r="1376" s="4" customFormat="1" ht="15"/>
    <row r="1377" s="4" customFormat="1" ht="15"/>
    <row r="1378" s="4" customFormat="1" ht="15"/>
    <row r="1379" s="4" customFormat="1" ht="15"/>
  </sheetData>
  <mergeCells count="4">
    <mergeCell ref="A1:F1"/>
    <mergeCell ref="A2:F2"/>
    <mergeCell ref="A3:F3"/>
    <mergeCell ref="A4:F4"/>
  </mergeCells>
  <phoneticPr fontId="13" type="noConversion"/>
  <pageMargins left="0.75" right="0.5" top="1" bottom="0.5" header="0.5" footer="0.5"/>
  <pageSetup scale="85" orientation="portrait" horizontalDpi="4294967295" verticalDpi="4294967295" r:id="rId1"/>
  <headerFooter alignWithMargins="0"/>
  <rowBreaks count="4" manualBreakCount="4">
    <brk id="53" max="5" man="1"/>
    <brk id="98" max="5" man="1"/>
    <brk id="143" max="5" man="1"/>
    <brk id="188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84"/>
  <sheetViews>
    <sheetView workbookViewId="0">
      <selection activeCell="A32" sqref="A32"/>
    </sheetView>
  </sheetViews>
  <sheetFormatPr defaultColWidth="5.7109375" defaultRowHeight="15"/>
  <cols>
    <col min="1" max="1" width="42.28515625" style="4" customWidth="1"/>
    <col min="2" max="6" width="12.28515625" style="4" customWidth="1"/>
    <col min="7" max="7" width="7.28515625" style="4" hidden="1" customWidth="1"/>
    <col min="8" max="11" width="5.7109375" style="4"/>
    <col min="12" max="12" width="12.28515625" style="4" bestFit="1" customWidth="1"/>
    <col min="13" max="16384" width="5.7109375" style="4"/>
  </cols>
  <sheetData>
    <row r="1" spans="1:7" s="29" customFormat="1" ht="15.75">
      <c r="A1" s="207" t="s">
        <v>0</v>
      </c>
      <c r="B1" s="207"/>
      <c r="C1" s="207"/>
      <c r="D1" s="207"/>
      <c r="E1" s="207"/>
      <c r="F1" s="207"/>
      <c r="G1" s="28"/>
    </row>
    <row r="2" spans="1:7" s="29" customFormat="1" ht="15.75">
      <c r="A2" s="208" t="s">
        <v>1</v>
      </c>
      <c r="B2" s="208"/>
      <c r="C2" s="208"/>
      <c r="D2" s="208"/>
      <c r="E2" s="208"/>
      <c r="F2" s="208"/>
      <c r="G2" s="28"/>
    </row>
    <row r="3" spans="1:7" s="29" customFormat="1" ht="15.75">
      <c r="A3" s="207" t="s">
        <v>32</v>
      </c>
      <c r="B3" s="207"/>
      <c r="C3" s="207"/>
      <c r="D3" s="207"/>
      <c r="E3" s="207"/>
      <c r="F3" s="207"/>
      <c r="G3" s="28"/>
    </row>
    <row r="4" spans="1:7" s="29" customFormat="1" ht="15.75">
      <c r="A4" s="206" t="s">
        <v>90</v>
      </c>
      <c r="B4" s="206"/>
      <c r="C4" s="206"/>
      <c r="D4" s="206"/>
      <c r="E4" s="206"/>
      <c r="F4" s="206"/>
      <c r="G4" s="30"/>
    </row>
    <row r="5" spans="1:7" s="29" customFormat="1" ht="15.75">
      <c r="A5" s="31"/>
      <c r="B5" s="31"/>
      <c r="C5" s="31"/>
      <c r="D5" s="58"/>
      <c r="E5" s="58" t="s">
        <v>65</v>
      </c>
      <c r="F5" s="40" t="s">
        <v>65</v>
      </c>
      <c r="G5" s="31"/>
    </row>
    <row r="6" spans="1:7" s="29" customFormat="1" ht="15.75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  <c r="G6" s="33" t="s">
        <v>4</v>
      </c>
    </row>
    <row r="7" spans="1:7" s="29" customFormat="1" ht="15.7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</row>
    <row r="8" spans="1:7">
      <c r="A8" s="7" t="s">
        <v>7</v>
      </c>
      <c r="B8" s="8"/>
      <c r="C8" s="8"/>
      <c r="D8" s="8"/>
      <c r="E8" s="8"/>
      <c r="F8" s="8"/>
      <c r="G8" s="8"/>
    </row>
    <row r="9" spans="1:7">
      <c r="A9" s="8" t="s">
        <v>8</v>
      </c>
      <c r="B9" s="63">
        <v>142344190</v>
      </c>
      <c r="C9" s="60">
        <v>161291823</v>
      </c>
      <c r="D9" s="60">
        <v>188639493</v>
      </c>
      <c r="E9" s="60">
        <v>196927470</v>
      </c>
      <c r="F9" s="60">
        <v>202239926</v>
      </c>
      <c r="G9" s="14">
        <f>F9-D9</f>
        <v>13600433</v>
      </c>
    </row>
    <row r="10" spans="1:7">
      <c r="A10" s="8" t="s">
        <v>9</v>
      </c>
      <c r="B10" s="63">
        <v>39047728</v>
      </c>
      <c r="C10" s="61">
        <v>37024657</v>
      </c>
      <c r="D10" s="61">
        <v>29889734</v>
      </c>
      <c r="E10" s="61">
        <v>21406193</v>
      </c>
      <c r="F10" s="61">
        <v>25582599</v>
      </c>
      <c r="G10" s="9">
        <f>F10-D10</f>
        <v>-4307135</v>
      </c>
    </row>
    <row r="11" spans="1:7" ht="17.25">
      <c r="A11" s="8" t="s">
        <v>10</v>
      </c>
      <c r="B11" s="64">
        <v>1528521</v>
      </c>
      <c r="C11" s="62">
        <v>2143513</v>
      </c>
      <c r="D11" s="62">
        <v>4682220</v>
      </c>
      <c r="E11" s="62">
        <v>3037655</v>
      </c>
      <c r="F11" s="62">
        <v>3038992</v>
      </c>
      <c r="G11" s="10">
        <f>F11-D11</f>
        <v>-1643228</v>
      </c>
    </row>
    <row r="12" spans="1:7">
      <c r="A12" s="8"/>
      <c r="B12" s="17"/>
      <c r="C12" s="17"/>
      <c r="D12" s="17"/>
      <c r="E12" s="17"/>
      <c r="F12" s="17"/>
      <c r="G12" s="8"/>
    </row>
    <row r="13" spans="1:7" ht="17.25" customHeight="1">
      <c r="A13" s="8" t="s">
        <v>11</v>
      </c>
      <c r="B13" s="20">
        <f t="shared" ref="B13:E13" si="0">SUM(B9:B11)</f>
        <v>182920439</v>
      </c>
      <c r="C13" s="20">
        <f t="shared" si="0"/>
        <v>200459993</v>
      </c>
      <c r="D13" s="20">
        <f t="shared" si="0"/>
        <v>223211447</v>
      </c>
      <c r="E13" s="20">
        <f t="shared" si="0"/>
        <v>221371318</v>
      </c>
      <c r="F13" s="20">
        <f t="shared" ref="F13:G13" si="1">SUM(F9:F11)</f>
        <v>230861517</v>
      </c>
      <c r="G13" s="15">
        <f t="shared" si="1"/>
        <v>7650070</v>
      </c>
    </row>
    <row r="14" spans="1:7">
      <c r="A14" s="8"/>
      <c r="B14" s="17"/>
      <c r="C14" s="17"/>
      <c r="D14" s="17"/>
      <c r="E14" s="17"/>
      <c r="F14" s="17"/>
      <c r="G14" s="8"/>
    </row>
    <row r="15" spans="1:7">
      <c r="A15" s="7" t="s">
        <v>12</v>
      </c>
      <c r="B15" s="17"/>
      <c r="C15" s="17"/>
      <c r="D15" s="17"/>
      <c r="E15" s="17"/>
      <c r="F15" s="17"/>
      <c r="G15" s="8"/>
    </row>
    <row r="16" spans="1:7">
      <c r="A16" s="8" t="s">
        <v>13</v>
      </c>
      <c r="B16" s="17"/>
      <c r="C16" s="17"/>
      <c r="D16" s="17"/>
      <c r="E16" s="17"/>
      <c r="F16" s="17"/>
      <c r="G16" s="8"/>
    </row>
    <row r="17" spans="1:10">
      <c r="A17" s="8" t="s">
        <v>14</v>
      </c>
      <c r="B17" s="6">
        <f>'F100 Detail'!B15+'F100 Detail'!B24+'F100 Detail'!B33</f>
        <v>119275030.61000006</v>
      </c>
      <c r="C17" s="6">
        <f>'F100 Detail'!C15+'F100 Detail'!C24+'F100 Detail'!C33</f>
        <v>125544552.40000014</v>
      </c>
      <c r="D17" s="6">
        <f>'F100 Detail'!D15+'F100 Detail'!D24+'F100 Detail'!D33</f>
        <v>136351865</v>
      </c>
      <c r="E17" s="6">
        <f>'F100 Detail'!E15+'F100 Detail'!E24+'F100 Detail'!E33</f>
        <v>154557397.42000031</v>
      </c>
      <c r="F17" s="6">
        <f>'F100 Detail'!F15+'F100 Detail'!F24+'F100 Detail'!F33</f>
        <v>155479871</v>
      </c>
      <c r="G17" s="9">
        <f t="shared" ref="G17:G25" si="2">F17-D17</f>
        <v>19128006</v>
      </c>
    </row>
    <row r="18" spans="1:10">
      <c r="A18" s="8" t="s">
        <v>15</v>
      </c>
      <c r="B18" s="6">
        <f>'F100 Detail'!B42+'F100 Detail'!B51</f>
        <v>10777345.350000001</v>
      </c>
      <c r="C18" s="6">
        <f>'F100 Detail'!C42+'F100 Detail'!C51</f>
        <v>11438393.420000002</v>
      </c>
      <c r="D18" s="6">
        <f>'F100 Detail'!D42+'F100 Detail'!D51</f>
        <v>12281758</v>
      </c>
      <c r="E18" s="6">
        <f>'F100 Detail'!E42+'F100 Detail'!E51</f>
        <v>13173990.950000007</v>
      </c>
      <c r="F18" s="6">
        <f>'F100 Detail'!F42+'F100 Detail'!F51</f>
        <v>16658841</v>
      </c>
      <c r="G18" s="9">
        <f t="shared" si="2"/>
        <v>4377083</v>
      </c>
    </row>
    <row r="19" spans="1:10">
      <c r="A19" s="8" t="s">
        <v>16</v>
      </c>
      <c r="B19" s="6">
        <f>'F100 Detail'!B60+'F100 Detail'!B69+'F100 Detail'!B78+'F100 Detail'!B87+'F100 Detail'!B105</f>
        <v>23262513.160000004</v>
      </c>
      <c r="C19" s="6">
        <f>'F100 Detail'!C60+'F100 Detail'!C69+'F100 Detail'!C78+'F100 Detail'!C87+'F100 Detail'!C105</f>
        <v>25653640.579999998</v>
      </c>
      <c r="D19" s="6">
        <f>'F100 Detail'!D60+'F100 Detail'!D69+'F100 Detail'!D78+'F100 Detail'!D87+'F100 Detail'!D105</f>
        <v>27319719</v>
      </c>
      <c r="E19" s="6">
        <f>'F100 Detail'!E60+'F100 Detail'!E69+'F100 Detail'!E78+'F100 Detail'!E87+'F100 Detail'!E105</f>
        <v>29513018.829999983</v>
      </c>
      <c r="F19" s="6">
        <f>'F100 Detail'!F60+'F100 Detail'!F69+'F100 Detail'!F78+'F100 Detail'!F87+'F100 Detail'!F105</f>
        <v>32354401</v>
      </c>
      <c r="G19" s="9">
        <f t="shared" si="2"/>
        <v>5034682</v>
      </c>
    </row>
    <row r="20" spans="1:10">
      <c r="A20" s="8" t="s">
        <v>17</v>
      </c>
      <c r="B20" s="6">
        <f>'F100 Detail'!B114</f>
        <v>5578094.0600000015</v>
      </c>
      <c r="C20" s="6">
        <f>'F100 Detail'!C114</f>
        <v>5855707.1600000011</v>
      </c>
      <c r="D20" s="6">
        <f>'F100 Detail'!D114</f>
        <v>6521302</v>
      </c>
      <c r="E20" s="6">
        <f>'F100 Detail'!E114</f>
        <v>6294236.1600000001</v>
      </c>
      <c r="F20" s="6">
        <f>'F100 Detail'!F114</f>
        <v>7068800</v>
      </c>
      <c r="G20" s="9">
        <f t="shared" si="2"/>
        <v>547498</v>
      </c>
    </row>
    <row r="21" spans="1:10">
      <c r="A21" s="8" t="s">
        <v>54</v>
      </c>
      <c r="B21" s="6">
        <f>'F100 Detail'!B123+'F100 Detail'!B132+'F100 Detail'!B141</f>
        <v>24568078.260000005</v>
      </c>
      <c r="C21" s="6">
        <f>'F100 Detail'!C123+'F100 Detail'!C132+'F100 Detail'!C141</f>
        <v>24793196.239999998</v>
      </c>
      <c r="D21" s="6">
        <f>'F100 Detail'!D123+'F100 Detail'!D132+'F100 Detail'!D141</f>
        <v>28238594</v>
      </c>
      <c r="E21" s="6">
        <f>'F100 Detail'!E123+'F100 Detail'!E132+'F100 Detail'!E141</f>
        <v>31670965.719999995</v>
      </c>
      <c r="F21" s="6">
        <f>'F100 Detail'!F123+'F100 Detail'!F132+'F100 Detail'!F141</f>
        <v>32879186</v>
      </c>
      <c r="G21" s="9">
        <f t="shared" si="2"/>
        <v>4640592</v>
      </c>
    </row>
    <row r="22" spans="1:10">
      <c r="A22" s="8" t="s">
        <v>19</v>
      </c>
      <c r="B22" s="6">
        <f>'F100 Detail'!B150</f>
        <v>140948.82</v>
      </c>
      <c r="C22" s="6">
        <f>'F100 Detail'!C150</f>
        <v>111739.95</v>
      </c>
      <c r="D22" s="6">
        <f>'F100 Detail'!D150</f>
        <v>130549</v>
      </c>
      <c r="E22" s="6">
        <f>'F100 Detail'!E150</f>
        <v>133916.63</v>
      </c>
      <c r="F22" s="6">
        <f>'F100 Detail'!F150</f>
        <v>142125</v>
      </c>
      <c r="G22" s="9">
        <f t="shared" si="2"/>
        <v>11576</v>
      </c>
    </row>
    <row r="23" spans="1:10">
      <c r="A23" s="8" t="s">
        <v>58</v>
      </c>
      <c r="B23" s="6">
        <v>0</v>
      </c>
      <c r="C23" s="6">
        <v>0</v>
      </c>
      <c r="D23" s="6">
        <v>0</v>
      </c>
      <c r="E23" s="6">
        <v>0</v>
      </c>
      <c r="F23" s="6">
        <v>0</v>
      </c>
      <c r="G23" s="9">
        <f t="shared" si="2"/>
        <v>0</v>
      </c>
    </row>
    <row r="24" spans="1:10">
      <c r="A24" s="8" t="s">
        <v>21</v>
      </c>
      <c r="B24" s="6">
        <f>'F100 Detail'!B168</f>
        <v>441464.55</v>
      </c>
      <c r="C24" s="6">
        <f>'F100 Detail'!C168</f>
        <v>846648.66</v>
      </c>
      <c r="D24" s="6">
        <f>'F100 Detail'!D168</f>
        <v>536161</v>
      </c>
      <c r="E24" s="6">
        <f>'F100 Detail'!E168</f>
        <v>405000</v>
      </c>
      <c r="F24" s="6">
        <f>'F100 Detail'!F168</f>
        <v>413100</v>
      </c>
      <c r="G24" s="9">
        <f t="shared" si="2"/>
        <v>-123061</v>
      </c>
    </row>
    <row r="25" spans="1:10" ht="17.25">
      <c r="A25" s="8" t="s">
        <v>22</v>
      </c>
      <c r="B25" s="19">
        <f>'F100 Detail'!B177+'F100 Detail'!B186+'F100 Detail'!B195+'F100 Detail'!B204+'F100 Detail'!B213</f>
        <v>2159962.8899999997</v>
      </c>
      <c r="C25" s="19">
        <f>'F100 Detail'!C177+'F100 Detail'!C186+'F100 Detail'!C195+'F100 Detail'!C204+'F100 Detail'!C213</f>
        <v>2261857.8899999997</v>
      </c>
      <c r="D25" s="19">
        <f>'F100 Detail'!D177+'F100 Detail'!D186+'F100 Detail'!D195+'F100 Detail'!D204+'F100 Detail'!D213</f>
        <v>7676130</v>
      </c>
      <c r="E25" s="19">
        <f>'F100 Detail'!E177+'F100 Detail'!E186+'F100 Detail'!E195+'F100 Detail'!E204+'F100 Detail'!E213</f>
        <v>6732039</v>
      </c>
      <c r="F25" s="19">
        <f>'F100 Detail'!F177+'F100 Detail'!F186+'F100 Detail'!F195+'F100 Detail'!F204+'F100 Detail'!F213</f>
        <v>9032039</v>
      </c>
      <c r="G25" s="10">
        <f t="shared" si="2"/>
        <v>1355909</v>
      </c>
    </row>
    <row r="26" spans="1:10">
      <c r="A26" s="8"/>
      <c r="B26" s="17"/>
      <c r="C26" s="17"/>
      <c r="D26" s="17"/>
      <c r="E26" s="17"/>
      <c r="F26" s="17"/>
      <c r="G26" s="8"/>
    </row>
    <row r="27" spans="1:10" ht="17.25">
      <c r="A27" s="8" t="s">
        <v>23</v>
      </c>
      <c r="B27" s="20">
        <f>SUM(B17:B25)</f>
        <v>186203437.70000005</v>
      </c>
      <c r="C27" s="20">
        <f>SUM(C17:C25)+1</f>
        <v>196505737.30000013</v>
      </c>
      <c r="D27" s="20">
        <f>SUM(D17:D25)-1</f>
        <v>219056077</v>
      </c>
      <c r="E27" s="20">
        <f>SUM(E17:E25)</f>
        <v>242480564.71000031</v>
      </c>
      <c r="F27" s="20">
        <f>SUM(F17:F25)</f>
        <v>254028363</v>
      </c>
      <c r="G27" s="15">
        <f>SUM(G17:G25)</f>
        <v>34972285</v>
      </c>
      <c r="J27" s="4" t="s">
        <v>166</v>
      </c>
    </row>
    <row r="28" spans="1:10">
      <c r="A28" s="8"/>
      <c r="B28" s="17"/>
      <c r="C28" s="17"/>
      <c r="D28" s="17"/>
      <c r="E28" s="17"/>
      <c r="F28" s="17"/>
      <c r="G28" s="8"/>
    </row>
    <row r="29" spans="1:10">
      <c r="A29" s="8" t="s">
        <v>24</v>
      </c>
      <c r="B29" s="17"/>
      <c r="C29" s="17"/>
      <c r="D29" s="17"/>
      <c r="E29" s="17"/>
      <c r="F29" s="17"/>
      <c r="G29" s="8"/>
    </row>
    <row r="30" spans="1:10">
      <c r="A30" s="8" t="s">
        <v>25</v>
      </c>
      <c r="B30" s="17">
        <v>-3282999</v>
      </c>
      <c r="C30" s="17">
        <f>C13-C27</f>
        <v>3954255.6999998689</v>
      </c>
      <c r="D30" s="17">
        <f>D13-D27</f>
        <v>4155370</v>
      </c>
      <c r="E30" s="17">
        <f>ROUND(E13-E27,0)</f>
        <v>-21109247</v>
      </c>
      <c r="F30" s="17">
        <f>ROUND(F13-F27,0)</f>
        <v>-23166846</v>
      </c>
      <c r="G30" s="9">
        <f>F30-D30</f>
        <v>-27322216</v>
      </c>
    </row>
    <row r="31" spans="1:10">
      <c r="A31" s="8"/>
      <c r="B31" s="17"/>
      <c r="C31" s="17"/>
      <c r="D31" s="17"/>
      <c r="E31" s="17"/>
      <c r="F31" s="17"/>
      <c r="G31" s="9"/>
    </row>
    <row r="32" spans="1:10">
      <c r="A32" s="8" t="s">
        <v>26</v>
      </c>
      <c r="B32" s="6">
        <f>976+39077467</f>
        <v>39078443</v>
      </c>
      <c r="C32" s="6">
        <v>99</v>
      </c>
      <c r="D32" s="6">
        <v>290</v>
      </c>
      <c r="E32" s="6">
        <v>0</v>
      </c>
      <c r="F32" s="6">
        <v>0</v>
      </c>
      <c r="G32" s="9">
        <f>F32-D32</f>
        <v>-290</v>
      </c>
    </row>
    <row r="33" spans="1:7" ht="17.25">
      <c r="A33" s="8" t="s">
        <v>27</v>
      </c>
      <c r="B33" s="19">
        <v>-21408</v>
      </c>
      <c r="C33" s="19">
        <v>-20355199</v>
      </c>
      <c r="D33" s="19">
        <v>-1162362</v>
      </c>
      <c r="E33" s="57">
        <v>0</v>
      </c>
      <c r="F33" s="57">
        <v>-2000000</v>
      </c>
      <c r="G33" s="10">
        <f>F33-D33</f>
        <v>-837638</v>
      </c>
    </row>
    <row r="34" spans="1:7">
      <c r="A34" s="8"/>
      <c r="B34" s="17"/>
      <c r="C34" s="17"/>
      <c r="D34" s="17"/>
      <c r="E34" s="17"/>
      <c r="F34" s="17"/>
      <c r="G34" s="8"/>
    </row>
    <row r="35" spans="1:7">
      <c r="A35" s="12"/>
      <c r="B35" s="21"/>
      <c r="C35" s="21"/>
      <c r="D35" s="21"/>
      <c r="E35" s="21"/>
      <c r="F35" s="21"/>
      <c r="G35" s="12"/>
    </row>
    <row r="36" spans="1:7">
      <c r="A36" s="8" t="s">
        <v>28</v>
      </c>
      <c r="B36" s="17"/>
      <c r="C36" s="17"/>
      <c r="D36" s="17"/>
      <c r="E36" s="17"/>
      <c r="F36" s="17"/>
      <c r="G36" s="8"/>
    </row>
    <row r="37" spans="1:7">
      <c r="A37" s="8" t="s">
        <v>29</v>
      </c>
      <c r="B37" s="17">
        <f>SUM(B30:B33)</f>
        <v>35774036</v>
      </c>
      <c r="C37" s="17">
        <f>SUM(C30:C33)</f>
        <v>-16400844.300000131</v>
      </c>
      <c r="D37" s="17">
        <f>ROUND(SUM(D30:D33),0)</f>
        <v>2993298</v>
      </c>
      <c r="E37" s="17">
        <f>ROUND(SUM(E30:E33),0)</f>
        <v>-21109247</v>
      </c>
      <c r="F37" s="17">
        <f>ROUND(SUM(F30:F33),0)</f>
        <v>-25166846</v>
      </c>
      <c r="G37" s="9">
        <f>F37-D37</f>
        <v>-28160144</v>
      </c>
    </row>
    <row r="38" spans="1:7">
      <c r="A38" s="8"/>
      <c r="B38" s="17"/>
      <c r="C38" s="17"/>
      <c r="D38" s="17"/>
      <c r="E38" s="17"/>
      <c r="F38" s="17"/>
      <c r="G38" s="8"/>
    </row>
    <row r="39" spans="1:7">
      <c r="A39" s="8" t="s">
        <v>30</v>
      </c>
      <c r="B39" s="17">
        <v>76768237</v>
      </c>
      <c r="C39" s="17">
        <f>B43</f>
        <v>112542273</v>
      </c>
      <c r="D39" s="17">
        <f>C43</f>
        <v>96141428.699999869</v>
      </c>
      <c r="E39" s="17">
        <f>D43</f>
        <v>99134726.699999869</v>
      </c>
      <c r="F39" s="17">
        <f>E43</f>
        <v>78025479.699999869</v>
      </c>
      <c r="G39" s="9">
        <f>F39-D39</f>
        <v>-18115949</v>
      </c>
    </row>
    <row r="40" spans="1:7">
      <c r="A40" s="8"/>
      <c r="B40" s="17"/>
      <c r="C40" s="17"/>
      <c r="D40" s="17"/>
      <c r="E40" s="17"/>
      <c r="F40" s="17"/>
      <c r="G40" s="8"/>
    </row>
    <row r="41" spans="1:7" ht="17.25">
      <c r="A41" s="8" t="s">
        <v>31</v>
      </c>
      <c r="B41" s="20">
        <v>0</v>
      </c>
      <c r="C41" s="20">
        <v>0</v>
      </c>
      <c r="D41" s="20">
        <v>0</v>
      </c>
      <c r="E41" s="20">
        <v>0</v>
      </c>
      <c r="F41" s="20">
        <v>0</v>
      </c>
      <c r="G41" s="10">
        <f>F41-D41</f>
        <v>0</v>
      </c>
    </row>
    <row r="42" spans="1:7">
      <c r="A42" s="8"/>
      <c r="B42" s="17"/>
      <c r="C42" s="17"/>
      <c r="D42" s="17"/>
      <c r="E42" s="17"/>
      <c r="F42" s="17"/>
      <c r="G42" s="8"/>
    </row>
    <row r="43" spans="1:7" ht="17.25">
      <c r="A43" s="7" t="s">
        <v>68</v>
      </c>
      <c r="B43" s="20">
        <f t="shared" ref="B43:G43" si="3">SUM(B37:B41)</f>
        <v>112542273</v>
      </c>
      <c r="C43" s="20">
        <f>SUM(C37:C41)</f>
        <v>96141428.699999869</v>
      </c>
      <c r="D43" s="20">
        <f>SUM(D37:D41)</f>
        <v>99134726.699999869</v>
      </c>
      <c r="E43" s="20">
        <f t="shared" si="3"/>
        <v>78025479.699999869</v>
      </c>
      <c r="F43" s="20">
        <f t="shared" si="3"/>
        <v>52858633.699999869</v>
      </c>
      <c r="G43" s="15">
        <f t="shared" si="3"/>
        <v>-46276093</v>
      </c>
    </row>
    <row r="44" spans="1:7">
      <c r="A44" s="8"/>
      <c r="B44" s="8"/>
      <c r="C44" s="8"/>
      <c r="D44" s="8"/>
      <c r="E44" s="8"/>
      <c r="F44" s="8"/>
      <c r="G44" s="8"/>
    </row>
    <row r="45" spans="1:7">
      <c r="A45" s="8"/>
      <c r="B45" s="8"/>
      <c r="C45" s="8"/>
      <c r="D45" s="8"/>
      <c r="E45" s="8"/>
      <c r="F45" s="8"/>
      <c r="G45" s="8"/>
    </row>
    <row r="46" spans="1:7">
      <c r="A46" s="8"/>
      <c r="B46" s="8"/>
      <c r="C46" s="8"/>
      <c r="D46" s="8"/>
      <c r="E46" s="8"/>
      <c r="F46" s="8"/>
      <c r="G46" s="8"/>
    </row>
    <row r="47" spans="1:7">
      <c r="A47" s="8"/>
      <c r="B47" s="8"/>
      <c r="C47" s="8"/>
      <c r="D47" s="8"/>
      <c r="E47" s="8"/>
      <c r="F47" s="8"/>
      <c r="G47" s="8"/>
    </row>
    <row r="48" spans="1:7">
      <c r="A48" s="8"/>
      <c r="B48" s="8"/>
      <c r="C48" s="8"/>
      <c r="D48" s="8"/>
      <c r="E48" s="8"/>
      <c r="F48" s="8"/>
      <c r="G48" s="8"/>
    </row>
    <row r="49" spans="1:7">
      <c r="A49" s="3"/>
      <c r="B49" s="3"/>
      <c r="C49" s="3"/>
      <c r="D49" s="3"/>
      <c r="E49" s="3"/>
      <c r="F49" s="3"/>
      <c r="G49" s="3"/>
    </row>
    <row r="50" spans="1:7">
      <c r="A50" s="3"/>
      <c r="B50" s="3"/>
      <c r="C50" s="3"/>
      <c r="D50" s="3"/>
      <c r="E50" s="3"/>
      <c r="F50" s="3"/>
      <c r="G50" s="3"/>
    </row>
    <row r="51" spans="1:7">
      <c r="A51" s="3"/>
      <c r="B51" s="3"/>
      <c r="C51" s="3"/>
      <c r="D51" s="3"/>
      <c r="E51" s="3"/>
      <c r="F51" s="3"/>
      <c r="G51" s="3"/>
    </row>
    <row r="52" spans="1:7">
      <c r="A52" s="3"/>
      <c r="B52" s="3"/>
      <c r="C52" s="3"/>
      <c r="D52" s="3"/>
      <c r="E52" s="3"/>
      <c r="F52" s="3"/>
      <c r="G52" s="3"/>
    </row>
    <row r="53" spans="1:7">
      <c r="A53" s="8"/>
      <c r="B53" s="8"/>
      <c r="C53" s="8"/>
      <c r="D53" s="8"/>
      <c r="E53" s="8"/>
      <c r="F53" s="8"/>
      <c r="G53" s="8"/>
    </row>
    <row r="54" spans="1:7">
      <c r="A54" s="8"/>
      <c r="B54" s="8"/>
      <c r="C54" s="8"/>
      <c r="D54" s="11"/>
      <c r="E54" s="3"/>
      <c r="F54" s="3"/>
      <c r="G54" s="3"/>
    </row>
    <row r="55" spans="1:7">
      <c r="A55" s="8"/>
      <c r="B55" s="8"/>
      <c r="C55" s="11"/>
      <c r="D55" s="11"/>
      <c r="E55" s="11"/>
      <c r="F55" s="11"/>
      <c r="G55" s="11"/>
    </row>
    <row r="56" spans="1:7">
      <c r="A56" s="8"/>
      <c r="B56" s="8"/>
      <c r="C56" s="8"/>
      <c r="D56" s="8"/>
      <c r="E56" s="8"/>
      <c r="F56" s="8"/>
      <c r="G56" s="8"/>
    </row>
    <row r="57" spans="1:7">
      <c r="A57" s="8"/>
      <c r="B57" s="8"/>
      <c r="C57" s="8"/>
      <c r="D57" s="8"/>
      <c r="E57" s="8"/>
      <c r="F57" s="8"/>
      <c r="G57" s="8"/>
    </row>
    <row r="58" spans="1:7">
      <c r="A58" s="8"/>
      <c r="B58" s="8"/>
      <c r="C58" s="8"/>
      <c r="D58" s="8"/>
      <c r="E58" s="8"/>
      <c r="F58" s="8"/>
      <c r="G58" s="8"/>
    </row>
    <row r="59" spans="1:7">
      <c r="A59" s="8"/>
      <c r="B59" s="8"/>
      <c r="C59" s="8"/>
      <c r="D59" s="8"/>
      <c r="E59" s="8"/>
      <c r="F59" s="8"/>
      <c r="G59" s="8"/>
    </row>
    <row r="60" spans="1:7">
      <c r="A60" s="8"/>
      <c r="B60" s="8"/>
      <c r="C60" s="8"/>
      <c r="D60" s="8"/>
      <c r="E60" s="8"/>
      <c r="F60" s="8"/>
      <c r="G60" s="8"/>
    </row>
    <row r="61" spans="1:7">
      <c r="A61" s="8"/>
      <c r="B61" s="8"/>
      <c r="C61" s="8"/>
      <c r="D61" s="8"/>
      <c r="E61" s="8"/>
      <c r="F61" s="8"/>
      <c r="G61" s="8"/>
    </row>
    <row r="62" spans="1:7">
      <c r="A62" s="8"/>
      <c r="B62" s="8"/>
      <c r="C62" s="8"/>
      <c r="D62" s="8"/>
      <c r="E62" s="8"/>
      <c r="F62" s="8"/>
      <c r="G62" s="8"/>
    </row>
    <row r="63" spans="1:7">
      <c r="A63" s="8"/>
      <c r="B63" s="8"/>
      <c r="C63" s="8"/>
      <c r="D63" s="8"/>
      <c r="E63" s="8"/>
      <c r="F63" s="8"/>
      <c r="G63" s="8"/>
    </row>
    <row r="64" spans="1:7">
      <c r="A64" s="8"/>
      <c r="B64" s="8"/>
      <c r="C64" s="8"/>
      <c r="D64" s="8"/>
      <c r="E64" s="8"/>
      <c r="F64" s="8"/>
      <c r="G64" s="8"/>
    </row>
    <row r="65" spans="1:7">
      <c r="A65" s="8"/>
      <c r="B65" s="8"/>
      <c r="C65" s="8"/>
      <c r="D65" s="8"/>
      <c r="E65" s="8"/>
      <c r="F65" s="8"/>
      <c r="G65" s="8"/>
    </row>
    <row r="66" spans="1:7">
      <c r="A66" s="12"/>
      <c r="B66" s="12"/>
      <c r="C66" s="12"/>
      <c r="D66" s="12"/>
      <c r="E66" s="12"/>
      <c r="F66" s="12"/>
      <c r="G66" s="12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13"/>
      <c r="D69" s="13"/>
      <c r="E69" s="8"/>
      <c r="F69" s="8"/>
      <c r="G69" s="8"/>
    </row>
    <row r="70" spans="1:7">
      <c r="A70" s="8"/>
      <c r="B70" s="8"/>
      <c r="C70" s="13"/>
      <c r="D70" s="8"/>
      <c r="E70" s="8"/>
      <c r="F70" s="8"/>
      <c r="G70" s="8"/>
    </row>
    <row r="71" spans="1:7">
      <c r="A71" s="8"/>
      <c r="B71" s="8"/>
      <c r="C71" s="13"/>
      <c r="D71" s="8"/>
      <c r="E71" s="8"/>
      <c r="F71" s="8"/>
      <c r="G71" s="8"/>
    </row>
    <row r="72" spans="1:7">
      <c r="A72" s="8"/>
      <c r="B72" s="8"/>
      <c r="C72" s="13"/>
      <c r="D72" s="8"/>
      <c r="E72" s="8"/>
      <c r="F72" s="8"/>
      <c r="G72" s="8"/>
    </row>
    <row r="73" spans="1:7">
      <c r="A73" s="8"/>
      <c r="B73" s="8"/>
      <c r="C73" s="8"/>
      <c r="D73" s="8"/>
      <c r="E73" s="8"/>
      <c r="F73" s="8"/>
      <c r="G73" s="8"/>
    </row>
    <row r="74" spans="1:7">
      <c r="A74" s="8"/>
      <c r="B74" s="8"/>
      <c r="C74" s="8"/>
      <c r="D74" s="8"/>
      <c r="E74" s="8"/>
      <c r="F74" s="8"/>
      <c r="G74" s="8"/>
    </row>
    <row r="75" spans="1:7">
      <c r="A75" s="8"/>
      <c r="B75" s="8"/>
      <c r="C75" s="13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8"/>
      <c r="C77" s="8"/>
      <c r="D77" s="8"/>
      <c r="E77" s="8"/>
      <c r="F77" s="8"/>
      <c r="G77" s="8"/>
    </row>
    <row r="78" spans="1:7">
      <c r="A78" s="8"/>
      <c r="B78" s="8"/>
      <c r="C78" s="8"/>
      <c r="D78" s="8"/>
      <c r="E78" s="8"/>
      <c r="F78" s="8"/>
      <c r="G78" s="8"/>
    </row>
    <row r="79" spans="1:7">
      <c r="A79" s="8"/>
      <c r="B79" s="8"/>
      <c r="C79" s="8"/>
      <c r="D79" s="8"/>
      <c r="E79" s="8"/>
      <c r="F79" s="8"/>
      <c r="G79" s="8"/>
    </row>
    <row r="80" spans="1:7">
      <c r="A80" s="8"/>
      <c r="B80" s="8"/>
      <c r="C80" s="13"/>
      <c r="D80" s="8"/>
      <c r="E80" s="8"/>
      <c r="F80" s="8"/>
      <c r="G80" s="8"/>
    </row>
    <row r="81" spans="1:7">
      <c r="A81" s="8"/>
      <c r="B81" s="8"/>
      <c r="C81" s="13"/>
      <c r="D81" s="8"/>
      <c r="E81" s="8"/>
      <c r="F81" s="8"/>
      <c r="G81" s="8"/>
    </row>
    <row r="82" spans="1:7">
      <c r="A82" s="8"/>
      <c r="B82" s="8"/>
      <c r="C82" s="13"/>
      <c r="D82" s="13"/>
      <c r="E82" s="8"/>
      <c r="F82" s="8"/>
      <c r="G82" s="8"/>
    </row>
    <row r="83" spans="1:7">
      <c r="A83" s="8"/>
      <c r="B83" s="8"/>
      <c r="C83" s="13"/>
      <c r="D83" s="8"/>
      <c r="E83" s="8"/>
      <c r="F83" s="8"/>
      <c r="G83" s="8"/>
    </row>
    <row r="84" spans="1:7">
      <c r="A84" s="8"/>
      <c r="B84" s="8"/>
      <c r="C84" s="13"/>
      <c r="D84" s="13"/>
      <c r="E84" s="8"/>
      <c r="F84" s="8"/>
      <c r="G84" s="8"/>
    </row>
  </sheetData>
  <mergeCells count="4">
    <mergeCell ref="A4:F4"/>
    <mergeCell ref="A1:F1"/>
    <mergeCell ref="A2:F2"/>
    <mergeCell ref="A3:F3"/>
  </mergeCells>
  <phoneticPr fontId="13" type="noConversion"/>
  <printOptions horizontalCentered="1"/>
  <pageMargins left="0.75" right="0.5" top="1" bottom="0.5" header="0.5" footer="0.5"/>
  <pageSetup scale="89" orientation="portrait" horizontalDpi="4294967295" verticalDpi="4294967295" r:id="rId1"/>
  <headerFooter alignWithMargins="0"/>
  <rowBreaks count="1" manualBreakCount="1">
    <brk id="71" max="6553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2366"/>
  <sheetViews>
    <sheetView workbookViewId="0">
      <selection activeCell="F47" sqref="F47"/>
    </sheetView>
  </sheetViews>
  <sheetFormatPr defaultColWidth="5.7109375" defaultRowHeight="12.75"/>
  <cols>
    <col min="1" max="1" width="42.28515625" style="1" customWidth="1"/>
    <col min="2" max="5" width="12.28515625" style="1" customWidth="1"/>
    <col min="6" max="6" width="12.28515625" style="50" customWidth="1"/>
    <col min="7" max="11" width="5.7109375" style="1"/>
    <col min="12" max="12" width="8.5703125" style="1" bestFit="1" customWidth="1"/>
    <col min="13" max="16384" width="5.7109375" style="1"/>
  </cols>
  <sheetData>
    <row r="1" spans="1:7" s="29" customFormat="1" ht="15.75">
      <c r="A1" s="207" t="s">
        <v>0</v>
      </c>
      <c r="B1" s="207"/>
      <c r="C1" s="207"/>
      <c r="D1" s="207"/>
      <c r="E1" s="207"/>
      <c r="F1" s="207"/>
    </row>
    <row r="2" spans="1:7" s="29" customFormat="1" ht="15.75">
      <c r="A2" s="208" t="s">
        <v>33</v>
      </c>
      <c r="B2" s="208"/>
      <c r="C2" s="208"/>
      <c r="D2" s="208"/>
      <c r="E2" s="208"/>
      <c r="F2" s="208"/>
    </row>
    <row r="3" spans="1:7" s="29" customFormat="1" ht="15.75">
      <c r="A3" s="207" t="s">
        <v>32</v>
      </c>
      <c r="B3" s="207"/>
      <c r="C3" s="207"/>
      <c r="D3" s="207"/>
      <c r="E3" s="207"/>
      <c r="F3" s="207"/>
    </row>
    <row r="4" spans="1:7" s="29" customFormat="1" ht="15.75">
      <c r="A4" s="206" t="s">
        <v>90</v>
      </c>
      <c r="B4" s="206"/>
      <c r="C4" s="206"/>
      <c r="D4" s="206"/>
      <c r="E4" s="206"/>
      <c r="F4" s="206"/>
    </row>
    <row r="5" spans="1:7" s="29" customFormat="1" ht="12.75" customHeight="1">
      <c r="A5" s="31"/>
      <c r="B5" s="31"/>
      <c r="C5" s="31"/>
      <c r="D5" s="58"/>
      <c r="E5" s="58" t="s">
        <v>65</v>
      </c>
      <c r="F5" s="40" t="s">
        <v>65</v>
      </c>
    </row>
    <row r="6" spans="1:7" s="29" customFormat="1" ht="12.75" customHeight="1">
      <c r="A6" s="32"/>
      <c r="B6" s="59" t="s">
        <v>2</v>
      </c>
      <c r="C6" s="59" t="s">
        <v>2</v>
      </c>
      <c r="D6" s="59" t="s">
        <v>2</v>
      </c>
      <c r="E6" s="59" t="s">
        <v>3</v>
      </c>
      <c r="F6" s="33" t="s">
        <v>3</v>
      </c>
    </row>
    <row r="7" spans="1:7" s="29" customFormat="1" ht="12.75" customHeight="1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</row>
    <row r="8" spans="1:7" s="4" customFormat="1" ht="15">
      <c r="A8" s="7" t="s">
        <v>34</v>
      </c>
      <c r="B8" s="9"/>
      <c r="C8" s="9"/>
      <c r="D8" s="9"/>
      <c r="E8" s="9"/>
      <c r="F8" s="9"/>
      <c r="G8" s="9"/>
    </row>
    <row r="9" spans="1:7" s="4" customFormat="1" ht="15">
      <c r="A9" s="8" t="s">
        <v>35</v>
      </c>
      <c r="B9" s="6">
        <v>108068037.57000007</v>
      </c>
      <c r="C9" s="6">
        <v>113702498.06000014</v>
      </c>
      <c r="D9" s="6">
        <f>121084082-15503</f>
        <v>121068579</v>
      </c>
      <c r="E9" s="6">
        <v>136716180.14000031</v>
      </c>
      <c r="F9" s="6">
        <v>140719538</v>
      </c>
      <c r="G9" s="9"/>
    </row>
    <row r="10" spans="1:7" s="4" customFormat="1" ht="15">
      <c r="A10" s="8" t="s">
        <v>36</v>
      </c>
      <c r="B10" s="51">
        <v>501067.56</v>
      </c>
      <c r="C10" s="51">
        <v>604165.91999999969</v>
      </c>
      <c r="D10" s="51">
        <v>543283</v>
      </c>
      <c r="E10" s="51">
        <v>1026781.9600000003</v>
      </c>
      <c r="F10" s="51">
        <v>941108</v>
      </c>
      <c r="G10" s="9"/>
    </row>
    <row r="11" spans="1:7" s="4" customFormat="1" ht="15">
      <c r="A11" s="8" t="s">
        <v>37</v>
      </c>
      <c r="B11" s="51">
        <v>2489439.2800000017</v>
      </c>
      <c r="C11" s="51">
        <v>2826535.75</v>
      </c>
      <c r="D11" s="51">
        <v>3165112</v>
      </c>
      <c r="E11" s="51">
        <v>3946954.82</v>
      </c>
      <c r="F11" s="51">
        <v>3691708</v>
      </c>
      <c r="G11" s="9"/>
    </row>
    <row r="12" spans="1:7" s="4" customFormat="1" ht="15">
      <c r="A12" s="8" t="s">
        <v>38</v>
      </c>
      <c r="B12" s="6">
        <v>222614.41</v>
      </c>
      <c r="C12" s="6">
        <v>208355.05999999997</v>
      </c>
      <c r="D12" s="6">
        <v>241551</v>
      </c>
      <c r="E12" s="6">
        <v>334285</v>
      </c>
      <c r="F12" s="6">
        <v>345705</v>
      </c>
      <c r="G12" s="9"/>
    </row>
    <row r="13" spans="1:7" s="4" customFormat="1" ht="15">
      <c r="A13" s="8" t="s">
        <v>39</v>
      </c>
      <c r="B13" s="6">
        <v>0</v>
      </c>
      <c r="C13" s="6">
        <v>0</v>
      </c>
      <c r="D13" s="6">
        <v>0</v>
      </c>
      <c r="E13" s="6">
        <v>0</v>
      </c>
      <c r="F13" s="6">
        <v>0</v>
      </c>
      <c r="G13" s="9"/>
    </row>
    <row r="14" spans="1:7" s="4" customFormat="1" ht="15">
      <c r="A14" s="8" t="s">
        <v>40</v>
      </c>
      <c r="B14" s="54">
        <v>32270</v>
      </c>
      <c r="C14" s="54">
        <v>19150</v>
      </c>
      <c r="D14" s="54">
        <v>36351</v>
      </c>
      <c r="E14" s="54">
        <v>0</v>
      </c>
      <c r="F14" s="54">
        <v>200</v>
      </c>
      <c r="G14" s="9"/>
    </row>
    <row r="15" spans="1:7" s="4" customFormat="1" ht="15">
      <c r="A15" s="8" t="s">
        <v>42</v>
      </c>
      <c r="B15" s="54">
        <f>SUM(B9:B14)</f>
        <v>111313428.82000007</v>
      </c>
      <c r="C15" s="38">
        <f>SUM(C9:C14)</f>
        <v>117360704.79000014</v>
      </c>
      <c r="D15" s="54">
        <f>SUM(D9:D14)</f>
        <v>125054876</v>
      </c>
      <c r="E15" s="54">
        <f>SUM(E9:E14)</f>
        <v>142024201.92000031</v>
      </c>
      <c r="F15" s="54">
        <f>SUM(F9:F14)</f>
        <v>145698259</v>
      </c>
      <c r="G15" s="9"/>
    </row>
    <row r="16" spans="1:7" s="4" customFormat="1" ht="15">
      <c r="A16" s="7"/>
      <c r="B16" s="54"/>
      <c r="C16" s="38"/>
      <c r="D16" s="54"/>
      <c r="E16" s="54"/>
      <c r="F16" s="54"/>
      <c r="G16" s="9"/>
    </row>
    <row r="17" spans="1:7" s="4" customFormat="1" ht="15">
      <c r="A17" s="7" t="s">
        <v>41</v>
      </c>
      <c r="B17" s="6"/>
      <c r="C17" s="9"/>
      <c r="D17" s="6"/>
      <c r="E17" s="6"/>
      <c r="F17" s="6"/>
      <c r="G17" s="9"/>
    </row>
    <row r="18" spans="1:7" s="4" customFormat="1" ht="15">
      <c r="A18" s="8" t="s">
        <v>35</v>
      </c>
      <c r="B18" s="51">
        <v>2004662.1300000006</v>
      </c>
      <c r="C18" s="51">
        <v>1993876.6900000002</v>
      </c>
      <c r="D18" s="51">
        <v>2161027</v>
      </c>
      <c r="E18" s="51">
        <v>2304012.629999999</v>
      </c>
      <c r="F18" s="51">
        <v>2236877</v>
      </c>
      <c r="G18" s="9"/>
    </row>
    <row r="19" spans="1:7" s="4" customFormat="1" ht="15">
      <c r="A19" s="8" t="s">
        <v>36</v>
      </c>
      <c r="B19" s="51">
        <v>51932.090000000004</v>
      </c>
      <c r="C19" s="51">
        <v>44838.67</v>
      </c>
      <c r="D19" s="51">
        <v>11178</v>
      </c>
      <c r="E19" s="51">
        <v>55755.68</v>
      </c>
      <c r="F19" s="51">
        <v>66144</v>
      </c>
      <c r="G19" s="9"/>
    </row>
    <row r="20" spans="1:7" s="4" customFormat="1" ht="15">
      <c r="A20" s="8" t="s">
        <v>37</v>
      </c>
      <c r="B20" s="51">
        <v>383271.8899999999</v>
      </c>
      <c r="C20" s="51">
        <v>364557.16000000003</v>
      </c>
      <c r="D20" s="51">
        <v>390857</v>
      </c>
      <c r="E20" s="51">
        <v>425780</v>
      </c>
      <c r="F20" s="51">
        <v>428898</v>
      </c>
      <c r="G20" s="9"/>
    </row>
    <row r="21" spans="1:7" s="4" customFormat="1" ht="15">
      <c r="A21" s="8" t="s">
        <v>38</v>
      </c>
      <c r="B21" s="51">
        <v>10626.41</v>
      </c>
      <c r="C21" s="51">
        <v>10221.529999999999</v>
      </c>
      <c r="D21" s="51">
        <v>20015</v>
      </c>
      <c r="E21" s="51">
        <v>24989</v>
      </c>
      <c r="F21" s="51">
        <v>32396</v>
      </c>
      <c r="G21" s="9"/>
    </row>
    <row r="22" spans="1:7" s="4" customFormat="1" ht="15">
      <c r="A22" s="8" t="s">
        <v>39</v>
      </c>
      <c r="B22" s="6">
        <v>0</v>
      </c>
      <c r="C22" s="6">
        <v>0</v>
      </c>
      <c r="D22" s="6">
        <v>0</v>
      </c>
      <c r="E22" s="6">
        <v>0</v>
      </c>
      <c r="F22" s="6">
        <v>0</v>
      </c>
      <c r="G22" s="9"/>
    </row>
    <row r="23" spans="1:7" s="4" customFormat="1" ht="15">
      <c r="A23" s="8" t="s">
        <v>40</v>
      </c>
      <c r="B23" s="54">
        <v>0</v>
      </c>
      <c r="C23" s="54">
        <v>0</v>
      </c>
      <c r="D23" s="54">
        <v>0</v>
      </c>
      <c r="E23" s="54">
        <v>0</v>
      </c>
      <c r="F23" s="54">
        <v>0</v>
      </c>
      <c r="G23" s="9"/>
    </row>
    <row r="24" spans="1:7" s="4" customFormat="1" ht="15">
      <c r="A24" s="8" t="s">
        <v>42</v>
      </c>
      <c r="B24" s="54">
        <f>SUM(B18:B23)</f>
        <v>2450492.5200000005</v>
      </c>
      <c r="C24" s="38">
        <f>SUM(C18:C23)</f>
        <v>2413494.0499999998</v>
      </c>
      <c r="D24" s="54">
        <f>SUM(D18:D23)</f>
        <v>2583077</v>
      </c>
      <c r="E24" s="54">
        <f>SUM(E18:E23)</f>
        <v>2810537.3099999991</v>
      </c>
      <c r="F24" s="54">
        <f>SUM(F18:F23)</f>
        <v>2764315</v>
      </c>
      <c r="G24" s="9"/>
    </row>
    <row r="25" spans="1:7" s="4" customFormat="1" ht="15">
      <c r="A25" s="7"/>
      <c r="B25" s="54"/>
      <c r="C25" s="38"/>
      <c r="D25" s="54"/>
      <c r="E25" s="54"/>
      <c r="F25" s="54"/>
      <c r="G25" s="9"/>
    </row>
    <row r="26" spans="1:7" s="4" customFormat="1" ht="15">
      <c r="A26" s="7" t="s">
        <v>43</v>
      </c>
      <c r="B26" s="6"/>
      <c r="C26" s="9"/>
      <c r="D26" s="6"/>
      <c r="E26" s="6"/>
      <c r="F26" s="6"/>
      <c r="G26" s="9"/>
    </row>
    <row r="27" spans="1:7" s="4" customFormat="1" ht="15">
      <c r="A27" s="8" t="s">
        <v>35</v>
      </c>
      <c r="B27" s="51">
        <v>4219554.2800000021</v>
      </c>
      <c r="C27" s="51">
        <v>4537396.9799999977</v>
      </c>
      <c r="D27" s="51">
        <f>7321857-1620</f>
        <v>7320237</v>
      </c>
      <c r="E27" s="51">
        <v>8267711.5700000031</v>
      </c>
      <c r="F27" s="51">
        <v>5219136</v>
      </c>
      <c r="G27" s="9"/>
    </row>
    <row r="28" spans="1:7" s="4" customFormat="1" ht="15">
      <c r="A28" s="8" t="s">
        <v>36</v>
      </c>
      <c r="B28" s="51">
        <v>435134.23000000004</v>
      </c>
      <c r="C28" s="51">
        <v>450056.39999999997</v>
      </c>
      <c r="D28" s="51">
        <v>530737</v>
      </c>
      <c r="E28" s="51">
        <v>481783</v>
      </c>
      <c r="F28" s="51">
        <v>683473</v>
      </c>
      <c r="G28" s="9"/>
    </row>
    <row r="29" spans="1:7" s="4" customFormat="1" ht="15">
      <c r="A29" s="8" t="s">
        <v>37</v>
      </c>
      <c r="B29" s="51">
        <v>339208.58999999991</v>
      </c>
      <c r="C29" s="51">
        <v>228198.02999999997</v>
      </c>
      <c r="D29" s="51">
        <v>195967</v>
      </c>
      <c r="E29" s="51">
        <v>253124.78999999998</v>
      </c>
      <c r="F29" s="51">
        <v>298867</v>
      </c>
      <c r="G29" s="9"/>
    </row>
    <row r="30" spans="1:7" s="4" customFormat="1" ht="15">
      <c r="A30" s="8" t="s">
        <v>38</v>
      </c>
      <c r="B30" s="51">
        <v>517212.17000000016</v>
      </c>
      <c r="C30" s="51">
        <v>554702.15</v>
      </c>
      <c r="D30" s="51">
        <v>660551</v>
      </c>
      <c r="E30" s="51">
        <v>720038.83000000007</v>
      </c>
      <c r="F30" s="51">
        <v>815821</v>
      </c>
      <c r="G30" s="9"/>
    </row>
    <row r="31" spans="1:7" s="4" customFormat="1" ht="15">
      <c r="A31" s="8" t="s">
        <v>39</v>
      </c>
      <c r="B31" s="6">
        <v>0</v>
      </c>
      <c r="C31" s="6">
        <v>0</v>
      </c>
      <c r="D31" s="6">
        <v>0</v>
      </c>
      <c r="E31" s="6">
        <v>0</v>
      </c>
      <c r="F31" s="6">
        <v>0</v>
      </c>
      <c r="G31" s="9"/>
    </row>
    <row r="32" spans="1:7" s="4" customFormat="1" ht="15">
      <c r="A32" s="8" t="s">
        <v>40</v>
      </c>
      <c r="B32" s="54">
        <v>0</v>
      </c>
      <c r="C32" s="54">
        <v>0</v>
      </c>
      <c r="D32" s="54">
        <v>6420</v>
      </c>
      <c r="E32" s="54">
        <v>0</v>
      </c>
      <c r="F32" s="54">
        <v>0</v>
      </c>
      <c r="G32" s="9"/>
    </row>
    <row r="33" spans="1:7" s="4" customFormat="1" ht="15">
      <c r="A33" s="8" t="s">
        <v>42</v>
      </c>
      <c r="B33" s="54">
        <f>SUM(B27:B32)</f>
        <v>5511109.2700000023</v>
      </c>
      <c r="C33" s="38">
        <f>SUM(C27:C32)</f>
        <v>5770353.5599999987</v>
      </c>
      <c r="D33" s="54">
        <f>SUM(D27:D32)</f>
        <v>8713912</v>
      </c>
      <c r="E33" s="54">
        <f>SUM(E27:E32)</f>
        <v>9722658.1900000032</v>
      </c>
      <c r="F33" s="54">
        <f>SUM(F27:F32)</f>
        <v>7017297</v>
      </c>
      <c r="G33" s="9"/>
    </row>
    <row r="34" spans="1:7" s="4" customFormat="1" ht="15">
      <c r="A34" s="7"/>
      <c r="B34" s="54"/>
      <c r="C34" s="38"/>
      <c r="D34" s="54"/>
      <c r="E34" s="54"/>
      <c r="F34" s="54"/>
      <c r="G34" s="9"/>
    </row>
    <row r="35" spans="1:7" s="4" customFormat="1" ht="15">
      <c r="A35" s="7" t="s">
        <v>44</v>
      </c>
      <c r="B35" s="6"/>
      <c r="C35" s="9"/>
      <c r="D35" s="6"/>
      <c r="E35" s="6"/>
      <c r="F35" s="6"/>
      <c r="G35" s="9"/>
    </row>
    <row r="36" spans="1:7" s="4" customFormat="1" ht="15">
      <c r="A36" s="8" t="s">
        <v>35</v>
      </c>
      <c r="B36" s="51">
        <v>965092.32000000018</v>
      </c>
      <c r="C36" s="51">
        <v>1191565.8900000001</v>
      </c>
      <c r="D36" s="51">
        <v>1760223</v>
      </c>
      <c r="E36" s="51">
        <v>2145546.84</v>
      </c>
      <c r="F36" s="51">
        <v>2176480</v>
      </c>
      <c r="G36" s="9"/>
    </row>
    <row r="37" spans="1:7" s="4" customFormat="1" ht="15">
      <c r="A37" s="8" t="s">
        <v>36</v>
      </c>
      <c r="B37" s="51">
        <v>33034.740000000005</v>
      </c>
      <c r="C37" s="51">
        <v>79401.62999999999</v>
      </c>
      <c r="D37" s="51">
        <v>52127</v>
      </c>
      <c r="E37" s="51">
        <v>55380</v>
      </c>
      <c r="F37" s="51">
        <v>6050</v>
      </c>
      <c r="G37" s="9"/>
    </row>
    <row r="38" spans="1:7" s="4" customFormat="1" ht="15">
      <c r="A38" s="8" t="s">
        <v>37</v>
      </c>
      <c r="B38" s="51">
        <v>69931.02</v>
      </c>
      <c r="C38" s="51">
        <v>108090.69</v>
      </c>
      <c r="D38" s="51">
        <v>177621</v>
      </c>
      <c r="E38" s="51">
        <v>137674.5</v>
      </c>
      <c r="F38" s="51">
        <v>76079</v>
      </c>
      <c r="G38" s="9"/>
    </row>
    <row r="39" spans="1:7" s="4" customFormat="1" ht="15">
      <c r="A39" s="8" t="s">
        <v>38</v>
      </c>
      <c r="B39" s="51">
        <v>43574.28</v>
      </c>
      <c r="C39" s="51">
        <v>56779.519999999997</v>
      </c>
      <c r="D39" s="51">
        <v>65564</v>
      </c>
      <c r="E39" s="51">
        <v>58250</v>
      </c>
      <c r="F39" s="51">
        <v>44347</v>
      </c>
      <c r="G39" s="9"/>
    </row>
    <row r="40" spans="1:7" s="4" customFormat="1" ht="15">
      <c r="A40" s="8" t="s">
        <v>39</v>
      </c>
      <c r="B40" s="6">
        <v>0</v>
      </c>
      <c r="C40" s="6">
        <v>0</v>
      </c>
      <c r="D40" s="6">
        <v>0</v>
      </c>
      <c r="E40" s="6">
        <v>0</v>
      </c>
      <c r="F40" s="6">
        <v>0</v>
      </c>
      <c r="G40" s="9"/>
    </row>
    <row r="41" spans="1:7" s="4" customFormat="1" ht="15">
      <c r="A41" s="8" t="s">
        <v>40</v>
      </c>
      <c r="B41" s="54">
        <v>0</v>
      </c>
      <c r="C41" s="54">
        <v>0</v>
      </c>
      <c r="D41" s="54">
        <v>0</v>
      </c>
      <c r="E41" s="54">
        <v>0</v>
      </c>
      <c r="F41" s="54">
        <v>0</v>
      </c>
      <c r="G41" s="9"/>
    </row>
    <row r="42" spans="1:7" s="4" customFormat="1" ht="15">
      <c r="A42" s="8" t="s">
        <v>42</v>
      </c>
      <c r="B42" s="54">
        <f>SUM(B36:B41)</f>
        <v>1111632.3600000001</v>
      </c>
      <c r="C42" s="38">
        <f>SUM(C36:C41)</f>
        <v>1435837.73</v>
      </c>
      <c r="D42" s="54">
        <f>SUM(D36:D41)</f>
        <v>2055535</v>
      </c>
      <c r="E42" s="54">
        <f>SUM(E36:E41)</f>
        <v>2396851.34</v>
      </c>
      <c r="F42" s="54">
        <f>SUM(F36:F41)</f>
        <v>2302956</v>
      </c>
      <c r="G42" s="9"/>
    </row>
    <row r="43" spans="1:7" s="4" customFormat="1" ht="15">
      <c r="A43" s="7"/>
      <c r="B43" s="54"/>
      <c r="C43" s="38"/>
      <c r="D43" s="54"/>
      <c r="E43" s="54"/>
      <c r="F43" s="54"/>
      <c r="G43" s="9"/>
    </row>
    <row r="44" spans="1:7" s="4" customFormat="1" ht="15">
      <c r="A44" s="7" t="s">
        <v>45</v>
      </c>
      <c r="B44" s="6"/>
      <c r="C44" s="9"/>
      <c r="D44" s="6"/>
      <c r="E44" s="6"/>
      <c r="F44" s="6"/>
      <c r="G44" s="9"/>
    </row>
    <row r="45" spans="1:7" s="4" customFormat="1" ht="15">
      <c r="A45" s="8" t="s">
        <v>35</v>
      </c>
      <c r="B45" s="51">
        <v>9183260.0200000014</v>
      </c>
      <c r="C45" s="51">
        <v>9551015.5500000026</v>
      </c>
      <c r="D45" s="51">
        <f>9728675-51</f>
        <v>9728624</v>
      </c>
      <c r="E45" s="51">
        <v>10324929.690000007</v>
      </c>
      <c r="F45" s="51">
        <v>13801576</v>
      </c>
      <c r="G45" s="9"/>
    </row>
    <row r="46" spans="1:7" s="4" customFormat="1" ht="15">
      <c r="A46" s="8" t="s">
        <v>36</v>
      </c>
      <c r="B46" s="51">
        <v>115857.87999999998</v>
      </c>
      <c r="C46" s="51">
        <v>111760.78999999996</v>
      </c>
      <c r="D46" s="51">
        <v>146702</v>
      </c>
      <c r="E46" s="51">
        <v>161235.91999999995</v>
      </c>
      <c r="F46" s="51">
        <v>152753</v>
      </c>
      <c r="G46" s="9"/>
    </row>
    <row r="47" spans="1:7" s="4" customFormat="1" ht="15">
      <c r="A47" s="8" t="s">
        <v>37</v>
      </c>
      <c r="B47" s="51">
        <v>157216.00000000012</v>
      </c>
      <c r="C47" s="51">
        <v>157525.09999999998</v>
      </c>
      <c r="D47" s="51">
        <v>134990</v>
      </c>
      <c r="E47" s="51">
        <v>96718</v>
      </c>
      <c r="F47" s="51">
        <v>86770</v>
      </c>
      <c r="G47" s="9"/>
    </row>
    <row r="48" spans="1:7" s="4" customFormat="1" ht="15">
      <c r="A48" s="8" t="s">
        <v>38</v>
      </c>
      <c r="B48" s="51">
        <v>209379.08999999997</v>
      </c>
      <c r="C48" s="51">
        <v>182254.24999999994</v>
      </c>
      <c r="D48" s="51">
        <v>215907</v>
      </c>
      <c r="E48" s="51">
        <v>194256</v>
      </c>
      <c r="F48" s="51">
        <v>314786</v>
      </c>
      <c r="G48" s="9"/>
    </row>
    <row r="49" spans="1:7" s="4" customFormat="1" ht="15">
      <c r="A49" s="8" t="s">
        <v>39</v>
      </c>
      <c r="B49" s="6">
        <v>0</v>
      </c>
      <c r="C49" s="6">
        <v>0</v>
      </c>
      <c r="D49" s="6">
        <v>0</v>
      </c>
      <c r="E49" s="6">
        <v>0</v>
      </c>
      <c r="F49" s="6">
        <v>0</v>
      </c>
      <c r="G49" s="9"/>
    </row>
    <row r="50" spans="1:7" s="4" customFormat="1" ht="15">
      <c r="A50" s="8" t="s">
        <v>40</v>
      </c>
      <c r="B50" s="54">
        <v>0</v>
      </c>
      <c r="C50" s="54">
        <v>0</v>
      </c>
      <c r="D50" s="54">
        <v>0</v>
      </c>
      <c r="E50" s="54">
        <v>0</v>
      </c>
      <c r="F50" s="54">
        <v>0</v>
      </c>
      <c r="G50" s="9"/>
    </row>
    <row r="51" spans="1:7" s="4" customFormat="1" ht="15">
      <c r="A51" s="8" t="s">
        <v>42</v>
      </c>
      <c r="B51" s="54">
        <f>SUM(B45:B50)</f>
        <v>9665712.9900000021</v>
      </c>
      <c r="C51" s="38">
        <f>SUM(C45:C50)</f>
        <v>10002555.690000001</v>
      </c>
      <c r="D51" s="54">
        <f>SUM(D45:D50)</f>
        <v>10226223</v>
      </c>
      <c r="E51" s="54">
        <f>SUM(E45:E50)</f>
        <v>10777139.610000007</v>
      </c>
      <c r="F51" s="54">
        <f>SUM(F45:F50)</f>
        <v>14355885</v>
      </c>
      <c r="G51" s="9"/>
    </row>
    <row r="52" spans="1:7" s="4" customFormat="1" ht="15">
      <c r="A52" s="7"/>
      <c r="B52" s="6"/>
      <c r="C52" s="6"/>
      <c r="D52" s="6"/>
      <c r="E52" s="6"/>
      <c r="F52" s="6"/>
      <c r="G52" s="9"/>
    </row>
    <row r="53" spans="1:7" s="4" customFormat="1" ht="15">
      <c r="A53" s="7" t="s">
        <v>46</v>
      </c>
      <c r="B53" s="6"/>
      <c r="C53" s="6"/>
      <c r="D53" s="6"/>
      <c r="E53" s="6"/>
      <c r="F53" s="6"/>
      <c r="G53" s="9"/>
    </row>
    <row r="54" spans="1:7" s="4" customFormat="1" ht="15">
      <c r="A54" s="8" t="s">
        <v>35</v>
      </c>
      <c r="B54" s="51">
        <v>5562938.8499999996</v>
      </c>
      <c r="C54" s="51">
        <v>6025762.5499999961</v>
      </c>
      <c r="D54" s="51">
        <v>6254005</v>
      </c>
      <c r="E54" s="51">
        <v>6950888.8999999855</v>
      </c>
      <c r="F54" s="51">
        <v>8286970</v>
      </c>
      <c r="G54" s="9"/>
    </row>
    <row r="55" spans="1:7" s="4" customFormat="1" ht="15">
      <c r="A55" s="8" t="s">
        <v>36</v>
      </c>
      <c r="B55" s="51">
        <v>104991.24</v>
      </c>
      <c r="C55" s="51">
        <v>76274.929999999993</v>
      </c>
      <c r="D55" s="51">
        <v>67763</v>
      </c>
      <c r="E55" s="51">
        <v>193686.84</v>
      </c>
      <c r="F55" s="51">
        <v>126115</v>
      </c>
      <c r="G55" s="9"/>
    </row>
    <row r="56" spans="1:7" s="4" customFormat="1" ht="15">
      <c r="A56" s="8" t="s">
        <v>37</v>
      </c>
      <c r="B56" s="51">
        <v>316231.7</v>
      </c>
      <c r="C56" s="51">
        <v>365029.59</v>
      </c>
      <c r="D56" s="51">
        <v>378250</v>
      </c>
      <c r="E56" s="51">
        <v>456678</v>
      </c>
      <c r="F56" s="51">
        <v>519501</v>
      </c>
      <c r="G56" s="9"/>
    </row>
    <row r="57" spans="1:7" s="4" customFormat="1" ht="15">
      <c r="A57" s="8" t="s">
        <v>38</v>
      </c>
      <c r="B57" s="51">
        <v>48976.32</v>
      </c>
      <c r="C57" s="51">
        <v>43173.979999999996</v>
      </c>
      <c r="D57" s="51">
        <v>67662</v>
      </c>
      <c r="E57" s="51">
        <v>52428</v>
      </c>
      <c r="F57" s="51">
        <v>58638</v>
      </c>
      <c r="G57" s="9"/>
    </row>
    <row r="58" spans="1:7" s="4" customFormat="1" ht="15">
      <c r="A58" s="8" t="s">
        <v>39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9"/>
    </row>
    <row r="59" spans="1:7" s="4" customFormat="1" ht="15">
      <c r="A59" s="8" t="s">
        <v>40</v>
      </c>
      <c r="B59" s="54">
        <v>0</v>
      </c>
      <c r="C59" s="54">
        <v>0</v>
      </c>
      <c r="D59" s="54">
        <v>0</v>
      </c>
      <c r="E59" s="54">
        <v>0</v>
      </c>
      <c r="F59" s="54">
        <v>0</v>
      </c>
      <c r="G59" s="9"/>
    </row>
    <row r="60" spans="1:7" s="4" customFormat="1" ht="15">
      <c r="A60" s="8" t="s">
        <v>42</v>
      </c>
      <c r="B60" s="54">
        <f>SUM(B54:B59)</f>
        <v>6033138.1100000003</v>
      </c>
      <c r="C60" s="38">
        <f>SUM(C54:C59)</f>
        <v>6510241.0499999961</v>
      </c>
      <c r="D60" s="54">
        <f>SUM(D54:D59)</f>
        <v>6767680</v>
      </c>
      <c r="E60" s="54">
        <f>SUM(E54:E59)</f>
        <v>7653681.7399999853</v>
      </c>
      <c r="F60" s="54">
        <f>SUM(F54:F59)</f>
        <v>8991224</v>
      </c>
      <c r="G60" s="9"/>
    </row>
    <row r="61" spans="1:7" s="4" customFormat="1" ht="15">
      <c r="A61" s="7"/>
      <c r="B61" s="54"/>
      <c r="C61" s="38"/>
      <c r="D61" s="54"/>
      <c r="E61" s="54"/>
      <c r="F61" s="54"/>
      <c r="G61" s="9"/>
    </row>
    <row r="62" spans="1:7" s="4" customFormat="1" ht="15">
      <c r="A62" s="7" t="s">
        <v>47</v>
      </c>
      <c r="B62" s="6"/>
      <c r="C62" s="9"/>
      <c r="D62" s="6"/>
      <c r="E62" s="6"/>
      <c r="F62" s="6"/>
      <c r="G62" s="9"/>
    </row>
    <row r="63" spans="1:7" s="4" customFormat="1" ht="15">
      <c r="A63" s="8" t="s">
        <v>35</v>
      </c>
      <c r="B63" s="51">
        <v>77793.009999999995</v>
      </c>
      <c r="C63" s="51">
        <v>74693.37000000001</v>
      </c>
      <c r="D63" s="51">
        <v>76157</v>
      </c>
      <c r="E63" s="51">
        <v>148324.86999999997</v>
      </c>
      <c r="F63" s="51">
        <v>215317</v>
      </c>
      <c r="G63" s="9"/>
    </row>
    <row r="64" spans="1:7" s="4" customFormat="1" ht="15">
      <c r="A64" s="8" t="s">
        <v>36</v>
      </c>
      <c r="B64" s="51">
        <v>114994</v>
      </c>
      <c r="C64" s="6">
        <v>114994</v>
      </c>
      <c r="D64" s="6">
        <v>118994</v>
      </c>
      <c r="E64" s="6">
        <v>118994</v>
      </c>
      <c r="F64" s="6">
        <v>118994</v>
      </c>
      <c r="G64" s="9"/>
    </row>
    <row r="65" spans="1:7" s="4" customFormat="1" ht="15">
      <c r="A65" s="8" t="s">
        <v>37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9"/>
    </row>
    <row r="66" spans="1:7" s="4" customFormat="1" ht="15">
      <c r="A66" s="8" t="s">
        <v>38</v>
      </c>
      <c r="B66" s="6">
        <v>0</v>
      </c>
      <c r="C66" s="6">
        <v>0</v>
      </c>
      <c r="D66" s="6">
        <v>0</v>
      </c>
      <c r="E66" s="6">
        <v>0</v>
      </c>
      <c r="F66" s="6">
        <v>0</v>
      </c>
      <c r="G66" s="9"/>
    </row>
    <row r="67" spans="1:7" s="4" customFormat="1" ht="15">
      <c r="A67" s="8" t="s">
        <v>39</v>
      </c>
      <c r="B67" s="6">
        <v>0</v>
      </c>
      <c r="C67" s="6">
        <v>0</v>
      </c>
      <c r="D67" s="6">
        <v>0</v>
      </c>
      <c r="E67" s="6">
        <v>0</v>
      </c>
      <c r="F67" s="6">
        <v>0</v>
      </c>
      <c r="G67" s="9"/>
    </row>
    <row r="68" spans="1:7" s="4" customFormat="1" ht="15">
      <c r="A68" s="8" t="s">
        <v>40</v>
      </c>
      <c r="B68" s="54">
        <v>0</v>
      </c>
      <c r="C68" s="54">
        <v>0</v>
      </c>
      <c r="D68" s="54">
        <v>0</v>
      </c>
      <c r="E68" s="54">
        <v>0</v>
      </c>
      <c r="F68" s="54">
        <v>0</v>
      </c>
      <c r="G68" s="9"/>
    </row>
    <row r="69" spans="1:7" s="4" customFormat="1" ht="15">
      <c r="A69" s="8" t="s">
        <v>42</v>
      </c>
      <c r="B69" s="54">
        <f>SUM(B63:B68)</f>
        <v>192787.01</v>
      </c>
      <c r="C69" s="38">
        <f>SUM(C63:C68)</f>
        <v>189687.37</v>
      </c>
      <c r="D69" s="54">
        <f>SUM(D63:D68)</f>
        <v>195151</v>
      </c>
      <c r="E69" s="54">
        <f>SUM(E63:E68)</f>
        <v>267318.87</v>
      </c>
      <c r="F69" s="54">
        <f>SUM(F63:F68)</f>
        <v>334311</v>
      </c>
      <c r="G69" s="9"/>
    </row>
    <row r="70" spans="1:7" s="4" customFormat="1" ht="15">
      <c r="A70" s="7"/>
      <c r="B70" s="54"/>
      <c r="C70" s="38"/>
      <c r="D70" s="54"/>
      <c r="E70" s="54"/>
      <c r="F70" s="54"/>
      <c r="G70" s="9"/>
    </row>
    <row r="71" spans="1:7" s="4" customFormat="1" ht="15">
      <c r="A71" s="7" t="s">
        <v>48</v>
      </c>
      <c r="B71" s="6"/>
      <c r="C71" s="9"/>
      <c r="D71" s="6"/>
      <c r="E71" s="6"/>
      <c r="F71" s="6"/>
      <c r="G71" s="9"/>
    </row>
    <row r="72" spans="1:7" s="4" customFormat="1" ht="15">
      <c r="A72" s="8" t="s">
        <v>35</v>
      </c>
      <c r="B72" s="51">
        <v>1777556.5799999998</v>
      </c>
      <c r="C72" s="51">
        <v>1842652.3800000006</v>
      </c>
      <c r="D72" s="51">
        <v>2159579</v>
      </c>
      <c r="E72" s="51">
        <v>2417339.64</v>
      </c>
      <c r="F72" s="51">
        <v>2483138</v>
      </c>
      <c r="G72" s="9"/>
    </row>
    <row r="73" spans="1:7" s="4" customFormat="1" ht="15">
      <c r="A73" s="8" t="s">
        <v>36</v>
      </c>
      <c r="B73" s="6">
        <v>10242</v>
      </c>
      <c r="C73" s="6">
        <v>4920</v>
      </c>
      <c r="D73" s="6">
        <v>2538</v>
      </c>
      <c r="E73" s="6">
        <v>4289</v>
      </c>
      <c r="F73" s="6">
        <v>4289</v>
      </c>
      <c r="G73" s="9"/>
    </row>
    <row r="74" spans="1:7" s="4" customFormat="1" ht="15">
      <c r="A74" s="8" t="s">
        <v>37</v>
      </c>
      <c r="B74" s="51">
        <v>52844.429999999993</v>
      </c>
      <c r="C74" s="51">
        <v>26045.15</v>
      </c>
      <c r="D74" s="51">
        <v>56083</v>
      </c>
      <c r="E74" s="51">
        <v>65415</v>
      </c>
      <c r="F74" s="51">
        <v>60530</v>
      </c>
      <c r="G74" s="9"/>
    </row>
    <row r="75" spans="1:7" s="4" customFormat="1" ht="15">
      <c r="A75" s="8" t="s">
        <v>38</v>
      </c>
      <c r="B75" s="51">
        <v>5657.82</v>
      </c>
      <c r="C75" s="51">
        <v>7274.5</v>
      </c>
      <c r="D75" s="51">
        <v>3766</v>
      </c>
      <c r="E75" s="51">
        <v>13022</v>
      </c>
      <c r="F75" s="51">
        <v>15686</v>
      </c>
      <c r="G75" s="9"/>
    </row>
    <row r="76" spans="1:7" s="4" customFormat="1" ht="15">
      <c r="A76" s="8" t="s">
        <v>39</v>
      </c>
      <c r="B76" s="6">
        <v>0</v>
      </c>
      <c r="C76" s="6">
        <v>0</v>
      </c>
      <c r="D76" s="6">
        <v>0</v>
      </c>
      <c r="E76" s="6">
        <v>0</v>
      </c>
      <c r="F76" s="6">
        <v>0</v>
      </c>
      <c r="G76" s="9"/>
    </row>
    <row r="77" spans="1:7" s="4" customFormat="1" ht="15">
      <c r="A77" s="8" t="s">
        <v>40</v>
      </c>
      <c r="B77" s="54">
        <v>0</v>
      </c>
      <c r="C77" s="54">
        <v>0</v>
      </c>
      <c r="D77" s="54">
        <v>0</v>
      </c>
      <c r="E77" s="54">
        <v>0</v>
      </c>
      <c r="F77" s="54">
        <v>0</v>
      </c>
      <c r="G77" s="9"/>
    </row>
    <row r="78" spans="1:7" s="4" customFormat="1" ht="15">
      <c r="A78" s="8" t="s">
        <v>42</v>
      </c>
      <c r="B78" s="54">
        <f>SUM(B72:B77)</f>
        <v>1846300.8299999998</v>
      </c>
      <c r="C78" s="38">
        <f>SUM(C72:C77)</f>
        <v>1880892.0300000005</v>
      </c>
      <c r="D78" s="54">
        <f>SUM(D72:D77)</f>
        <v>2221966</v>
      </c>
      <c r="E78" s="54">
        <f>SUM(E72:E77)</f>
        <v>2500065.64</v>
      </c>
      <c r="F78" s="54">
        <f>SUM(F72:F77)</f>
        <v>2563643</v>
      </c>
      <c r="G78" s="9"/>
    </row>
    <row r="79" spans="1:7" s="4" customFormat="1" ht="15">
      <c r="A79" s="8"/>
      <c r="B79" s="54"/>
      <c r="C79" s="38"/>
      <c r="D79" s="54"/>
      <c r="E79" s="54"/>
      <c r="F79" s="54"/>
      <c r="G79" s="9"/>
    </row>
    <row r="80" spans="1:7" s="4" customFormat="1" ht="15">
      <c r="A80" s="7" t="s">
        <v>49</v>
      </c>
      <c r="B80" s="6"/>
      <c r="C80" s="9"/>
      <c r="D80" s="6"/>
      <c r="E80" s="6"/>
      <c r="F80" s="6"/>
      <c r="G80" s="9"/>
    </row>
    <row r="81" spans="1:7" s="4" customFormat="1" ht="15">
      <c r="A81" s="8" t="s">
        <v>35</v>
      </c>
      <c r="B81" s="6">
        <v>0</v>
      </c>
      <c r="C81" s="9">
        <v>7994.3200000000006</v>
      </c>
      <c r="D81" s="6">
        <v>0</v>
      </c>
      <c r="E81" s="6">
        <v>0</v>
      </c>
      <c r="F81" s="6">
        <v>0</v>
      </c>
      <c r="G81" s="9"/>
    </row>
    <row r="82" spans="1:7" s="4" customFormat="1" ht="15">
      <c r="A82" s="8" t="s">
        <v>36</v>
      </c>
      <c r="B82" s="51">
        <v>7836137.71</v>
      </c>
      <c r="C82" s="51">
        <v>8982035.4199999999</v>
      </c>
      <c r="D82" s="51">
        <v>9700194</v>
      </c>
      <c r="E82" s="51">
        <v>9996852</v>
      </c>
      <c r="F82" s="51">
        <v>11144000</v>
      </c>
      <c r="G82" s="9"/>
    </row>
    <row r="83" spans="1:7" s="4" customFormat="1" ht="15">
      <c r="A83" s="8" t="s">
        <v>37</v>
      </c>
      <c r="B83" s="51">
        <v>642516.72</v>
      </c>
      <c r="C83" s="51">
        <v>901672</v>
      </c>
      <c r="D83" s="51">
        <v>933908</v>
      </c>
      <c r="E83" s="51">
        <v>1018693</v>
      </c>
      <c r="F83" s="51">
        <v>1140054</v>
      </c>
      <c r="G83" s="9"/>
    </row>
    <row r="84" spans="1:7" s="4" customFormat="1" ht="15">
      <c r="A84" s="8" t="s">
        <v>38</v>
      </c>
      <c r="B84" s="51">
        <v>240785.74</v>
      </c>
      <c r="C84" s="51">
        <v>58948</v>
      </c>
      <c r="D84" s="51">
        <v>52765</v>
      </c>
      <c r="E84" s="51">
        <v>152000</v>
      </c>
      <c r="F84" s="51">
        <v>152000</v>
      </c>
      <c r="G84" s="9"/>
    </row>
    <row r="85" spans="1:7" s="4" customFormat="1" ht="15">
      <c r="A85" s="8" t="s">
        <v>39</v>
      </c>
      <c r="B85" s="6">
        <v>0</v>
      </c>
      <c r="C85" s="51">
        <v>0</v>
      </c>
      <c r="D85" s="6">
        <v>0</v>
      </c>
      <c r="E85" s="6">
        <v>0</v>
      </c>
      <c r="F85" s="6">
        <v>0</v>
      </c>
      <c r="G85" s="9"/>
    </row>
    <row r="86" spans="1:7" s="4" customFormat="1" ht="17.25">
      <c r="A86" s="8" t="s">
        <v>40</v>
      </c>
      <c r="B86" s="54">
        <v>1489.23</v>
      </c>
      <c r="C86" s="19">
        <v>0</v>
      </c>
      <c r="D86" s="54">
        <v>0</v>
      </c>
      <c r="E86" s="54">
        <v>0</v>
      </c>
      <c r="F86" s="54">
        <v>0</v>
      </c>
      <c r="G86" s="9"/>
    </row>
    <row r="87" spans="1:7" s="4" customFormat="1" ht="15">
      <c r="A87" s="8" t="s">
        <v>42</v>
      </c>
      <c r="B87" s="54">
        <f>SUM(B81:B86)</f>
        <v>8720929.4000000004</v>
      </c>
      <c r="C87" s="38">
        <f>SUM(C81:C86)</f>
        <v>9950649.7400000002</v>
      </c>
      <c r="D87" s="54">
        <f>SUM(D81:D86)</f>
        <v>10686867</v>
      </c>
      <c r="E87" s="54">
        <f>SUM(E81:E86)</f>
        <v>11167545</v>
      </c>
      <c r="F87" s="54">
        <f>SUM(F81:F86)</f>
        <v>12436054</v>
      </c>
      <c r="G87" s="9"/>
    </row>
    <row r="88" spans="1:7" s="4" customFormat="1" ht="15">
      <c r="A88" s="7"/>
      <c r="B88" s="54"/>
      <c r="C88" s="38"/>
      <c r="D88" s="54"/>
      <c r="E88" s="54"/>
      <c r="F88" s="54"/>
      <c r="G88" s="9"/>
    </row>
    <row r="89" spans="1:7" s="4" customFormat="1" ht="15">
      <c r="A89" s="7" t="s">
        <v>50</v>
      </c>
      <c r="B89" s="6"/>
      <c r="C89" s="9"/>
      <c r="D89" s="6"/>
      <c r="E89" s="6"/>
      <c r="F89" s="6"/>
      <c r="G89" s="9"/>
    </row>
    <row r="90" spans="1:7" s="4" customFormat="1" ht="15">
      <c r="A90" s="8" t="s">
        <v>35</v>
      </c>
      <c r="B90" s="6">
        <v>0</v>
      </c>
      <c r="C90" s="9">
        <v>0</v>
      </c>
      <c r="D90" s="6">
        <v>0</v>
      </c>
      <c r="E90" s="6">
        <v>0</v>
      </c>
      <c r="F90" s="6">
        <v>0</v>
      </c>
      <c r="G90" s="9"/>
    </row>
    <row r="91" spans="1:7" s="4" customFormat="1" ht="15">
      <c r="A91" s="8" t="s">
        <v>36</v>
      </c>
      <c r="B91" s="6">
        <f t="shared" ref="B91:B93" si="0">0+0</f>
        <v>0</v>
      </c>
      <c r="C91" s="9">
        <v>0</v>
      </c>
      <c r="D91" s="6">
        <f t="shared" ref="D91:F93" si="1">0+0</f>
        <v>0</v>
      </c>
      <c r="E91" s="6">
        <f t="shared" si="1"/>
        <v>0</v>
      </c>
      <c r="F91" s="6">
        <f t="shared" si="1"/>
        <v>0</v>
      </c>
      <c r="G91" s="9"/>
    </row>
    <row r="92" spans="1:7" s="4" customFormat="1" ht="15">
      <c r="A92" s="8" t="s">
        <v>37</v>
      </c>
      <c r="B92" s="6">
        <f t="shared" si="0"/>
        <v>0</v>
      </c>
      <c r="C92" s="9">
        <v>0</v>
      </c>
      <c r="D92" s="6">
        <f t="shared" si="1"/>
        <v>0</v>
      </c>
      <c r="E92" s="6">
        <f t="shared" si="1"/>
        <v>0</v>
      </c>
      <c r="F92" s="6">
        <f t="shared" si="1"/>
        <v>0</v>
      </c>
      <c r="G92" s="9"/>
    </row>
    <row r="93" spans="1:7" s="4" customFormat="1" ht="15">
      <c r="A93" s="8" t="s">
        <v>38</v>
      </c>
      <c r="B93" s="6">
        <f t="shared" si="0"/>
        <v>0</v>
      </c>
      <c r="C93" s="9">
        <v>0</v>
      </c>
      <c r="D93" s="6">
        <f t="shared" si="1"/>
        <v>0</v>
      </c>
      <c r="E93" s="6">
        <f t="shared" si="1"/>
        <v>0</v>
      </c>
      <c r="F93" s="6">
        <f t="shared" si="1"/>
        <v>0</v>
      </c>
      <c r="G93" s="9"/>
    </row>
    <row r="94" spans="1:7" s="4" customFormat="1" ht="15">
      <c r="A94" s="8" t="s">
        <v>39</v>
      </c>
      <c r="B94" s="6">
        <v>0</v>
      </c>
      <c r="C94" s="9">
        <v>0</v>
      </c>
      <c r="D94" s="6">
        <v>0</v>
      </c>
      <c r="E94" s="6">
        <v>0</v>
      </c>
      <c r="F94" s="6">
        <v>0</v>
      </c>
      <c r="G94" s="9"/>
    </row>
    <row r="95" spans="1:7" s="4" customFormat="1" ht="17.25">
      <c r="A95" s="8" t="s">
        <v>40</v>
      </c>
      <c r="B95" s="54">
        <v>0</v>
      </c>
      <c r="C95" s="10">
        <v>0</v>
      </c>
      <c r="D95" s="54">
        <v>0</v>
      </c>
      <c r="E95" s="54">
        <v>0</v>
      </c>
      <c r="F95" s="54">
        <v>0</v>
      </c>
      <c r="G95" s="9"/>
    </row>
    <row r="96" spans="1:7" s="4" customFormat="1" ht="15">
      <c r="A96" s="8" t="s">
        <v>42</v>
      </c>
      <c r="B96" s="54">
        <f>SUM(B90:B95)</f>
        <v>0</v>
      </c>
      <c r="C96" s="38">
        <f>SUM(C90:C95)</f>
        <v>0</v>
      </c>
      <c r="D96" s="54">
        <f>SUM(D90:D95)</f>
        <v>0</v>
      </c>
      <c r="E96" s="54">
        <f>SUM(E90:E95)</f>
        <v>0</v>
      </c>
      <c r="F96" s="54">
        <f>SUM(F90:F95)</f>
        <v>0</v>
      </c>
      <c r="G96" s="9"/>
    </row>
    <row r="97" spans="1:7" s="4" customFormat="1" ht="15">
      <c r="A97" s="7"/>
      <c r="B97" s="6"/>
      <c r="C97" s="6"/>
      <c r="D97" s="6"/>
      <c r="E97" s="6"/>
      <c r="F97" s="6"/>
      <c r="G97" s="9"/>
    </row>
    <row r="98" spans="1:7" s="4" customFormat="1" ht="15">
      <c r="A98" s="7" t="s">
        <v>51</v>
      </c>
      <c r="B98" s="6"/>
      <c r="C98" s="6"/>
      <c r="D98" s="6"/>
      <c r="E98" s="6"/>
      <c r="F98" s="6"/>
      <c r="G98" s="9"/>
    </row>
    <row r="99" spans="1:7" s="4" customFormat="1" ht="15">
      <c r="A99" s="8" t="s">
        <v>35</v>
      </c>
      <c r="B99" s="51">
        <v>3139740.1800000016</v>
      </c>
      <c r="C99" s="51">
        <v>3727496.5999999996</v>
      </c>
      <c r="D99" s="51">
        <f>3848431-626</f>
        <v>3847805</v>
      </c>
      <c r="E99" s="51">
        <v>4013158.0799999991</v>
      </c>
      <c r="F99" s="51">
        <v>3743397</v>
      </c>
      <c r="G99" s="9"/>
    </row>
    <row r="100" spans="1:7" s="4" customFormat="1" ht="15">
      <c r="A100" s="8" t="s">
        <v>36</v>
      </c>
      <c r="B100" s="51">
        <v>749179.57999999984</v>
      </c>
      <c r="C100" s="51">
        <v>751717.00000000012</v>
      </c>
      <c r="D100" s="51">
        <v>890811</v>
      </c>
      <c r="E100" s="51">
        <v>957935</v>
      </c>
      <c r="F100" s="51">
        <v>979651</v>
      </c>
      <c r="G100" s="9"/>
    </row>
    <row r="101" spans="1:7" s="4" customFormat="1" ht="15">
      <c r="A101" s="8" t="s">
        <v>37</v>
      </c>
      <c r="B101" s="51">
        <v>1395024.68</v>
      </c>
      <c r="C101" s="51">
        <v>1527954.4000000004</v>
      </c>
      <c r="D101" s="51">
        <v>1481252</v>
      </c>
      <c r="E101" s="51">
        <v>1704724.5</v>
      </c>
      <c r="F101" s="51">
        <v>1751297</v>
      </c>
      <c r="G101" s="9"/>
    </row>
    <row r="102" spans="1:7" s="4" customFormat="1" ht="15">
      <c r="A102" s="8" t="s">
        <v>38</v>
      </c>
      <c r="B102" s="51">
        <v>965057.25000000023</v>
      </c>
      <c r="C102" s="51">
        <v>1105502.3899999999</v>
      </c>
      <c r="D102" s="51">
        <v>1152331</v>
      </c>
      <c r="E102" s="51">
        <v>1248590</v>
      </c>
      <c r="F102" s="51">
        <v>1554824</v>
      </c>
      <c r="G102" s="9"/>
    </row>
    <row r="103" spans="1:7" s="4" customFormat="1" ht="15">
      <c r="A103" s="8" t="s">
        <v>39</v>
      </c>
      <c r="B103" s="6">
        <v>0</v>
      </c>
      <c r="C103" s="6">
        <v>0</v>
      </c>
      <c r="D103" s="6">
        <v>0</v>
      </c>
      <c r="E103" s="6">
        <v>0</v>
      </c>
      <c r="F103" s="6">
        <v>0</v>
      </c>
      <c r="G103" s="9"/>
    </row>
    <row r="104" spans="1:7" s="4" customFormat="1" ht="15">
      <c r="A104" s="8" t="s">
        <v>40</v>
      </c>
      <c r="B104" s="54">
        <v>220356.12</v>
      </c>
      <c r="C104" s="54">
        <v>9500</v>
      </c>
      <c r="D104" s="54">
        <v>75856</v>
      </c>
      <c r="E104" s="54">
        <v>0</v>
      </c>
      <c r="F104" s="54">
        <v>0</v>
      </c>
      <c r="G104" s="9"/>
    </row>
    <row r="105" spans="1:7" s="4" customFormat="1" ht="15">
      <c r="A105" s="8" t="s">
        <v>42</v>
      </c>
      <c r="B105" s="54">
        <f>SUM(B99:B104)</f>
        <v>6469357.8100000015</v>
      </c>
      <c r="C105" s="38">
        <f>SUM(C99:C104)</f>
        <v>7122170.3899999997</v>
      </c>
      <c r="D105" s="54">
        <f>SUM(D99:D104)</f>
        <v>7448055</v>
      </c>
      <c r="E105" s="54">
        <f>SUM(E99:E104)</f>
        <v>7924407.5799999991</v>
      </c>
      <c r="F105" s="54">
        <f>SUM(F99:F104)</f>
        <v>8029169</v>
      </c>
      <c r="G105" s="9"/>
    </row>
    <row r="106" spans="1:7" s="4" customFormat="1" ht="15">
      <c r="A106" s="7"/>
      <c r="B106" s="6"/>
      <c r="C106" s="9"/>
      <c r="D106" s="6"/>
      <c r="E106" s="6"/>
      <c r="F106" s="6"/>
      <c r="G106" s="9"/>
    </row>
    <row r="107" spans="1:7" s="4" customFormat="1" ht="15">
      <c r="A107" s="7" t="s">
        <v>52</v>
      </c>
      <c r="B107" s="6"/>
      <c r="C107" s="9"/>
      <c r="D107" s="6"/>
      <c r="E107" s="6"/>
      <c r="F107" s="6"/>
      <c r="G107" s="9"/>
    </row>
    <row r="108" spans="1:7" s="4" customFormat="1" ht="15">
      <c r="A108" s="8" t="s">
        <v>35</v>
      </c>
      <c r="B108" s="51">
        <v>4589457.2000000011</v>
      </c>
      <c r="C108" s="51">
        <v>4898901.120000001</v>
      </c>
      <c r="D108" s="51">
        <f>5200961-15000</f>
        <v>5185961</v>
      </c>
      <c r="E108" s="51">
        <v>5016071.74</v>
      </c>
      <c r="F108" s="51">
        <v>5408690</v>
      </c>
      <c r="G108" s="9"/>
    </row>
    <row r="109" spans="1:7" s="4" customFormat="1" ht="15">
      <c r="A109" s="8" t="s">
        <v>36</v>
      </c>
      <c r="B109" s="51">
        <v>499651.4</v>
      </c>
      <c r="C109" s="51">
        <v>478069.45000000007</v>
      </c>
      <c r="D109" s="51">
        <v>759611</v>
      </c>
      <c r="E109" s="51">
        <v>787287.42</v>
      </c>
      <c r="F109" s="51">
        <v>964043</v>
      </c>
      <c r="G109" s="9"/>
    </row>
    <row r="110" spans="1:7" s="4" customFormat="1" ht="15">
      <c r="A110" s="8" t="s">
        <v>37</v>
      </c>
      <c r="B110" s="51">
        <v>184858.66999999998</v>
      </c>
      <c r="C110" s="51">
        <v>130415.83000000002</v>
      </c>
      <c r="D110" s="51">
        <v>177552</v>
      </c>
      <c r="E110" s="51">
        <v>137270</v>
      </c>
      <c r="F110" s="51">
        <v>148045</v>
      </c>
      <c r="G110" s="9"/>
    </row>
    <row r="111" spans="1:7" s="4" customFormat="1" ht="15">
      <c r="A111" s="8" t="s">
        <v>38</v>
      </c>
      <c r="B111" s="51">
        <v>304126.79000000004</v>
      </c>
      <c r="C111" s="51">
        <v>348320.76000000007</v>
      </c>
      <c r="D111" s="51">
        <v>398178</v>
      </c>
      <c r="E111" s="51">
        <v>353607</v>
      </c>
      <c r="F111" s="51">
        <v>548022</v>
      </c>
      <c r="G111" s="9"/>
    </row>
    <row r="112" spans="1:7" s="4" customFormat="1" ht="15">
      <c r="A112" s="8" t="s">
        <v>39</v>
      </c>
      <c r="B112" s="6">
        <v>0</v>
      </c>
      <c r="C112" s="6">
        <v>0</v>
      </c>
      <c r="D112" s="6">
        <v>0</v>
      </c>
      <c r="E112" s="6">
        <v>0</v>
      </c>
      <c r="F112" s="6">
        <v>0</v>
      </c>
      <c r="G112" s="9"/>
    </row>
    <row r="113" spans="1:7" s="4" customFormat="1" ht="15">
      <c r="A113" s="8" t="s">
        <v>40</v>
      </c>
      <c r="B113" s="54">
        <v>0</v>
      </c>
      <c r="C113" s="54">
        <v>0</v>
      </c>
      <c r="D113" s="54">
        <v>0</v>
      </c>
      <c r="E113" s="54">
        <v>0</v>
      </c>
      <c r="F113" s="54">
        <v>0</v>
      </c>
      <c r="G113" s="9"/>
    </row>
    <row r="114" spans="1:7" s="4" customFormat="1" ht="15">
      <c r="A114" s="8" t="s">
        <v>42</v>
      </c>
      <c r="B114" s="54">
        <f>SUM(B108:B113)</f>
        <v>5578094.0600000015</v>
      </c>
      <c r="C114" s="38">
        <f>SUM(C108:C113)</f>
        <v>5855707.1600000011</v>
      </c>
      <c r="D114" s="54">
        <f>SUM(D108:D113)</f>
        <v>6521302</v>
      </c>
      <c r="E114" s="54">
        <f>SUM(E108:E113)</f>
        <v>6294236.1600000001</v>
      </c>
      <c r="F114" s="54">
        <f>SUM(F108:F113)</f>
        <v>7068800</v>
      </c>
      <c r="G114" s="9"/>
    </row>
    <row r="115" spans="1:7" s="4" customFormat="1" ht="15">
      <c r="A115" s="7"/>
      <c r="B115" s="6"/>
      <c r="C115" s="38"/>
      <c r="D115" s="6"/>
      <c r="E115" s="6"/>
      <c r="F115" s="6"/>
      <c r="G115" s="9"/>
    </row>
    <row r="116" spans="1:7" s="4" customFormat="1" ht="15">
      <c r="A116" s="7" t="s">
        <v>53</v>
      </c>
      <c r="B116" s="6"/>
      <c r="C116" s="9"/>
      <c r="D116" s="6"/>
      <c r="E116" s="6"/>
      <c r="F116" s="6"/>
      <c r="G116" s="9"/>
    </row>
    <row r="117" spans="1:7" s="4" customFormat="1" ht="15">
      <c r="A117" s="8" t="s">
        <v>35</v>
      </c>
      <c r="B117" s="51">
        <v>3087388.8200000003</v>
      </c>
      <c r="C117" s="51">
        <v>3316224.3799999994</v>
      </c>
      <c r="D117" s="51">
        <v>3754288</v>
      </c>
      <c r="E117" s="51">
        <v>4244069.34</v>
      </c>
      <c r="F117" s="51">
        <v>4802337</v>
      </c>
      <c r="G117" s="9"/>
    </row>
    <row r="118" spans="1:7" s="4" customFormat="1" ht="15">
      <c r="A118" s="8" t="s">
        <v>36</v>
      </c>
      <c r="B118" s="51">
        <v>12858717.610000003</v>
      </c>
      <c r="C118" s="51">
        <v>12879617.769999998</v>
      </c>
      <c r="D118" s="51">
        <v>14270974</v>
      </c>
      <c r="E118" s="51">
        <v>16095993.389999995</v>
      </c>
      <c r="F118" s="51">
        <v>16805166</v>
      </c>
      <c r="G118" s="9"/>
    </row>
    <row r="119" spans="1:7" s="4" customFormat="1" ht="15">
      <c r="A119" s="8" t="s">
        <v>37</v>
      </c>
      <c r="B119" s="51">
        <v>916170.06</v>
      </c>
      <c r="C119" s="51">
        <v>1116050.04</v>
      </c>
      <c r="D119" s="51">
        <v>1158663</v>
      </c>
      <c r="E119" s="51">
        <v>1428536.68</v>
      </c>
      <c r="F119" s="51">
        <v>1136872</v>
      </c>
      <c r="G119" s="9"/>
    </row>
    <row r="120" spans="1:7" s="4" customFormat="1" ht="15">
      <c r="A120" s="8" t="s">
        <v>38</v>
      </c>
      <c r="B120" s="51">
        <v>465636.73000000004</v>
      </c>
      <c r="C120" s="51">
        <v>484029.29</v>
      </c>
      <c r="D120" s="51">
        <v>553697</v>
      </c>
      <c r="E120" s="51">
        <v>826216.5</v>
      </c>
      <c r="F120" s="51">
        <v>1134217</v>
      </c>
      <c r="G120" s="9"/>
    </row>
    <row r="121" spans="1:7" s="4" customFormat="1" ht="15">
      <c r="A121" s="8" t="s">
        <v>39</v>
      </c>
      <c r="B121" s="6">
        <v>0</v>
      </c>
      <c r="C121" s="6">
        <v>0</v>
      </c>
      <c r="D121" s="6">
        <v>0</v>
      </c>
      <c r="E121" s="6">
        <v>0</v>
      </c>
      <c r="F121" s="6">
        <v>0</v>
      </c>
      <c r="G121" s="9"/>
    </row>
    <row r="122" spans="1:7" s="4" customFormat="1" ht="15">
      <c r="A122" s="8" t="s">
        <v>40</v>
      </c>
      <c r="B122" s="54">
        <v>348192.54000000004</v>
      </c>
      <c r="C122" s="54">
        <v>130298.34</v>
      </c>
      <c r="D122" s="54">
        <v>403364</v>
      </c>
      <c r="E122" s="54">
        <v>432879</v>
      </c>
      <c r="F122" s="54">
        <v>550379</v>
      </c>
      <c r="G122" s="9"/>
    </row>
    <row r="123" spans="1:7" s="4" customFormat="1" ht="15">
      <c r="A123" s="8" t="s">
        <v>42</v>
      </c>
      <c r="B123" s="54">
        <f>SUM(B117:B122)</f>
        <v>17676105.760000002</v>
      </c>
      <c r="C123" s="38">
        <f>SUM(C117:C122)</f>
        <v>17926219.819999997</v>
      </c>
      <c r="D123" s="54">
        <f>SUM(D117:D122)</f>
        <v>20140986</v>
      </c>
      <c r="E123" s="54">
        <f>SUM(E117:E122)</f>
        <v>23027694.909999996</v>
      </c>
      <c r="F123" s="54">
        <f>SUM(F117:F122)-1</f>
        <v>24428970</v>
      </c>
      <c r="G123" s="9"/>
    </row>
    <row r="124" spans="1:7" s="4" customFormat="1" ht="15">
      <c r="A124" s="7"/>
      <c r="B124" s="54"/>
      <c r="C124" s="38"/>
      <c r="D124" s="54"/>
      <c r="E124" s="54"/>
      <c r="F124" s="54"/>
      <c r="G124" s="9"/>
    </row>
    <row r="125" spans="1:7" s="4" customFormat="1" ht="15">
      <c r="A125" s="7" t="s">
        <v>55</v>
      </c>
      <c r="B125" s="6"/>
      <c r="C125" s="9"/>
      <c r="D125" s="6"/>
      <c r="E125" s="6"/>
      <c r="F125" s="6"/>
      <c r="G125" s="9"/>
    </row>
    <row r="126" spans="1:7" s="4" customFormat="1" ht="15">
      <c r="A126" s="8" t="s">
        <v>35</v>
      </c>
      <c r="B126" s="51">
        <v>372023.16000000003</v>
      </c>
      <c r="C126" s="51">
        <v>254664.02000000002</v>
      </c>
      <c r="D126" s="51">
        <v>293775</v>
      </c>
      <c r="E126" s="51">
        <v>423831.67</v>
      </c>
      <c r="F126" s="51">
        <v>421602</v>
      </c>
      <c r="G126" s="9"/>
    </row>
    <row r="127" spans="1:7" s="4" customFormat="1" ht="15">
      <c r="A127" s="8" t="s">
        <v>36</v>
      </c>
      <c r="B127" s="51">
        <v>873978.23</v>
      </c>
      <c r="C127" s="51">
        <v>875463.42999999993</v>
      </c>
      <c r="D127" s="51">
        <v>1259987</v>
      </c>
      <c r="E127" s="51">
        <v>1538172.1</v>
      </c>
      <c r="F127" s="51">
        <v>1488553</v>
      </c>
      <c r="G127" s="9"/>
    </row>
    <row r="128" spans="1:7" s="4" customFormat="1" ht="15">
      <c r="A128" s="8" t="s">
        <v>37</v>
      </c>
      <c r="B128" s="51">
        <v>234918.77999999997</v>
      </c>
      <c r="C128" s="51">
        <v>156444.34999999998</v>
      </c>
      <c r="D128" s="51">
        <v>263657</v>
      </c>
      <c r="E128" s="51">
        <v>147714</v>
      </c>
      <c r="F128" s="51">
        <v>200544</v>
      </c>
      <c r="G128" s="9"/>
    </row>
    <row r="129" spans="1:7" s="4" customFormat="1" ht="15">
      <c r="A129" s="8" t="s">
        <v>38</v>
      </c>
      <c r="B129" s="51">
        <v>6767.1</v>
      </c>
      <c r="C129" s="51">
        <v>3610.9100000000003</v>
      </c>
      <c r="D129" s="51">
        <v>3844</v>
      </c>
      <c r="E129" s="51">
        <v>14399</v>
      </c>
      <c r="F129" s="51">
        <v>12647</v>
      </c>
      <c r="G129" s="9"/>
    </row>
    <row r="130" spans="1:7" s="4" customFormat="1" ht="15">
      <c r="A130" s="8" t="s">
        <v>39</v>
      </c>
      <c r="B130" s="6">
        <v>0</v>
      </c>
      <c r="C130" s="6">
        <v>0</v>
      </c>
      <c r="D130" s="6">
        <v>0</v>
      </c>
      <c r="E130" s="6">
        <v>0</v>
      </c>
      <c r="F130" s="6">
        <v>0</v>
      </c>
      <c r="G130" s="9"/>
    </row>
    <row r="131" spans="1:7" s="4" customFormat="1" ht="15">
      <c r="A131" s="8" t="s">
        <v>40</v>
      </c>
      <c r="B131" s="54">
        <v>237288.76</v>
      </c>
      <c r="C131" s="54">
        <v>328685.09999999998</v>
      </c>
      <c r="D131" s="54">
        <v>208765</v>
      </c>
      <c r="E131" s="54">
        <v>10100</v>
      </c>
      <c r="F131" s="54">
        <v>10202</v>
      </c>
      <c r="G131" s="9"/>
    </row>
    <row r="132" spans="1:7" s="4" customFormat="1" ht="15">
      <c r="A132" s="8" t="s">
        <v>42</v>
      </c>
      <c r="B132" s="54">
        <f>SUM(B126:B131)</f>
        <v>1724976.0300000003</v>
      </c>
      <c r="C132" s="38">
        <f>SUM(C126:C131)</f>
        <v>1618867.8099999996</v>
      </c>
      <c r="D132" s="54">
        <f>SUM(D126:D131)</f>
        <v>2030028</v>
      </c>
      <c r="E132" s="54">
        <f>SUM(E126:E131)</f>
        <v>2134216.77</v>
      </c>
      <c r="F132" s="54">
        <f>SUM(F126:F131)</f>
        <v>2133548</v>
      </c>
      <c r="G132" s="9"/>
    </row>
    <row r="133" spans="1:7" s="4" customFormat="1" ht="15">
      <c r="A133" s="7"/>
      <c r="B133" s="6"/>
      <c r="C133" s="9"/>
      <c r="D133" s="6"/>
      <c r="E133" s="6"/>
      <c r="F133" s="6"/>
      <c r="G133" s="9"/>
    </row>
    <row r="134" spans="1:7" s="4" customFormat="1" ht="15">
      <c r="A134" s="7" t="s">
        <v>56</v>
      </c>
      <c r="B134" s="6"/>
      <c r="C134" s="9"/>
      <c r="D134" s="6"/>
      <c r="E134" s="6"/>
      <c r="F134" s="6"/>
      <c r="G134" s="9"/>
    </row>
    <row r="135" spans="1:7" s="4" customFormat="1" ht="15">
      <c r="A135" s="8" t="s">
        <v>35</v>
      </c>
      <c r="B135" s="51">
        <v>3676605.310000001</v>
      </c>
      <c r="C135" s="51">
        <v>3923959.4600000018</v>
      </c>
      <c r="D135" s="51">
        <v>4144524</v>
      </c>
      <c r="E135" s="51">
        <v>4785151.8899999997</v>
      </c>
      <c r="F135" s="51">
        <v>4357280</v>
      </c>
      <c r="G135" s="9"/>
    </row>
    <row r="136" spans="1:7" s="4" customFormat="1" ht="15">
      <c r="A136" s="8" t="s">
        <v>36</v>
      </c>
      <c r="B136" s="51">
        <v>1196584.18</v>
      </c>
      <c r="C136" s="51">
        <v>1003715.15</v>
      </c>
      <c r="D136" s="51">
        <v>1108997</v>
      </c>
      <c r="E136" s="51">
        <v>1536695.4</v>
      </c>
      <c r="F136" s="51">
        <v>1572200</v>
      </c>
      <c r="G136" s="9"/>
    </row>
    <row r="137" spans="1:7" s="4" customFormat="1" ht="15">
      <c r="A137" s="8" t="s">
        <v>37</v>
      </c>
      <c r="B137" s="51">
        <v>242512.13</v>
      </c>
      <c r="C137" s="51">
        <v>215829.78</v>
      </c>
      <c r="D137" s="51">
        <v>748152</v>
      </c>
      <c r="E137" s="51">
        <v>118411.75</v>
      </c>
      <c r="F137" s="51">
        <v>309062</v>
      </c>
      <c r="G137" s="9"/>
    </row>
    <row r="138" spans="1:7" s="4" customFormat="1" ht="15">
      <c r="A138" s="8" t="s">
        <v>38</v>
      </c>
      <c r="B138" s="51">
        <v>51294.850000000006</v>
      </c>
      <c r="C138" s="51">
        <v>36431.47</v>
      </c>
      <c r="D138" s="51">
        <v>65907</v>
      </c>
      <c r="E138" s="51">
        <v>68795</v>
      </c>
      <c r="F138" s="51">
        <v>78125</v>
      </c>
      <c r="G138" s="9"/>
    </row>
    <row r="139" spans="1:7" s="4" customFormat="1" ht="15">
      <c r="A139" s="8" t="s">
        <v>39</v>
      </c>
      <c r="B139" s="6">
        <v>0</v>
      </c>
      <c r="C139" s="6">
        <v>0</v>
      </c>
      <c r="D139" s="6">
        <v>0</v>
      </c>
      <c r="E139" s="6">
        <v>0</v>
      </c>
      <c r="F139" s="6">
        <v>0</v>
      </c>
      <c r="G139" s="9"/>
    </row>
    <row r="140" spans="1:7" s="4" customFormat="1" ht="15">
      <c r="A140" s="8" t="s">
        <v>40</v>
      </c>
      <c r="B140" s="54">
        <v>0</v>
      </c>
      <c r="C140" s="54">
        <v>68172.75</v>
      </c>
      <c r="D140" s="54">
        <v>0</v>
      </c>
      <c r="E140" s="54">
        <v>0</v>
      </c>
      <c r="F140" s="54">
        <v>0</v>
      </c>
      <c r="G140" s="9"/>
    </row>
    <row r="141" spans="1:7" s="4" customFormat="1" ht="15">
      <c r="A141" s="8" t="s">
        <v>42</v>
      </c>
      <c r="B141" s="54">
        <f>SUM(B135:B140)</f>
        <v>5166996.4700000007</v>
      </c>
      <c r="C141" s="38">
        <f>SUM(C135:C140)</f>
        <v>5248108.6100000022</v>
      </c>
      <c r="D141" s="54">
        <f>SUM(D135:D140)</f>
        <v>6067580</v>
      </c>
      <c r="E141" s="54">
        <f>SUM(E135:E140)</f>
        <v>6509054.0399999991</v>
      </c>
      <c r="F141" s="54">
        <f>SUM(F135:F140)+1</f>
        <v>6316668</v>
      </c>
      <c r="G141" s="9"/>
    </row>
    <row r="142" spans="1:7" s="4" customFormat="1" ht="15">
      <c r="A142" s="7"/>
      <c r="B142" s="6"/>
      <c r="C142" s="6"/>
      <c r="D142" s="6"/>
      <c r="E142" s="6"/>
      <c r="F142" s="6"/>
      <c r="G142" s="9"/>
    </row>
    <row r="143" spans="1:7" s="4" customFormat="1" ht="15">
      <c r="A143" s="7" t="s">
        <v>57</v>
      </c>
      <c r="B143" s="6"/>
      <c r="C143" s="6"/>
      <c r="D143" s="6"/>
      <c r="E143" s="6"/>
      <c r="F143" s="6"/>
      <c r="G143" s="9"/>
    </row>
    <row r="144" spans="1:7" s="4" customFormat="1" ht="15">
      <c r="A144" s="8" t="s">
        <v>35</v>
      </c>
      <c r="B144" s="51">
        <v>109638.68000000001</v>
      </c>
      <c r="C144" s="51">
        <v>95501.260000000009</v>
      </c>
      <c r="D144" s="51">
        <v>101994</v>
      </c>
      <c r="E144" s="51">
        <v>101180.63000000002</v>
      </c>
      <c r="F144" s="51">
        <v>112389</v>
      </c>
      <c r="G144" s="9"/>
    </row>
    <row r="145" spans="1:7" s="4" customFormat="1" ht="15">
      <c r="A145" s="8" t="s">
        <v>36</v>
      </c>
      <c r="B145" s="6">
        <v>1497</v>
      </c>
      <c r="C145" s="6">
        <v>1256</v>
      </c>
      <c r="D145" s="6">
        <v>1150</v>
      </c>
      <c r="E145" s="6">
        <v>4976</v>
      </c>
      <c r="F145" s="6">
        <v>171</v>
      </c>
      <c r="G145" s="9"/>
    </row>
    <row r="146" spans="1:7" s="4" customFormat="1" ht="15">
      <c r="A146" s="8" t="s">
        <v>37</v>
      </c>
      <c r="B146" s="51">
        <v>15837.08</v>
      </c>
      <c r="C146" s="51">
        <v>2527.04</v>
      </c>
      <c r="D146" s="51">
        <v>8526</v>
      </c>
      <c r="E146" s="51">
        <v>4793</v>
      </c>
      <c r="F146" s="51">
        <v>4793</v>
      </c>
      <c r="G146" s="9"/>
    </row>
    <row r="147" spans="1:7" s="4" customFormat="1" ht="15">
      <c r="A147" s="8" t="s">
        <v>38</v>
      </c>
      <c r="B147" s="51">
        <v>13976.06</v>
      </c>
      <c r="C147" s="51">
        <v>12455.65</v>
      </c>
      <c r="D147" s="51">
        <v>18879</v>
      </c>
      <c r="E147" s="51">
        <v>22967</v>
      </c>
      <c r="F147" s="51">
        <v>24772</v>
      </c>
      <c r="G147" s="9"/>
    </row>
    <row r="148" spans="1:7" s="4" customFormat="1" ht="15">
      <c r="A148" s="8" t="s">
        <v>39</v>
      </c>
      <c r="B148" s="6">
        <v>0</v>
      </c>
      <c r="C148" s="6">
        <v>0</v>
      </c>
      <c r="D148" s="6">
        <v>0</v>
      </c>
      <c r="E148" s="6">
        <v>0</v>
      </c>
      <c r="F148" s="6">
        <v>0</v>
      </c>
      <c r="G148" s="9"/>
    </row>
    <row r="149" spans="1:7" s="4" customFormat="1" ht="15">
      <c r="A149" s="8" t="s">
        <v>40</v>
      </c>
      <c r="B149" s="54">
        <v>0</v>
      </c>
      <c r="C149" s="54">
        <v>0</v>
      </c>
      <c r="D149" s="54">
        <v>0</v>
      </c>
      <c r="E149" s="54">
        <v>0</v>
      </c>
      <c r="F149" s="54">
        <v>0</v>
      </c>
      <c r="G149" s="9"/>
    </row>
    <row r="150" spans="1:7" s="4" customFormat="1" ht="15">
      <c r="A150" s="8" t="s">
        <v>42</v>
      </c>
      <c r="B150" s="54">
        <f>SUM(B144:B149)</f>
        <v>140948.82</v>
      </c>
      <c r="C150" s="38">
        <f>SUM(C144:C149)</f>
        <v>111739.95</v>
      </c>
      <c r="D150" s="54">
        <f>SUM(D144:D149)</f>
        <v>130549</v>
      </c>
      <c r="E150" s="54">
        <f>SUM(E144:E149)</f>
        <v>133916.63</v>
      </c>
      <c r="F150" s="54">
        <f>SUM(F144:F149)</f>
        <v>142125</v>
      </c>
      <c r="G150" s="9"/>
    </row>
    <row r="151" spans="1:7" s="4" customFormat="1" ht="15">
      <c r="A151" s="7"/>
      <c r="B151" s="6"/>
      <c r="C151" s="9"/>
      <c r="D151" s="6"/>
      <c r="E151" s="6"/>
      <c r="F151" s="6"/>
      <c r="G151" s="9"/>
    </row>
    <row r="152" spans="1:7" s="4" customFormat="1" ht="15">
      <c r="A152" s="7" t="s">
        <v>59</v>
      </c>
      <c r="B152" s="6"/>
      <c r="C152" s="9"/>
      <c r="D152" s="6"/>
      <c r="E152" s="6"/>
      <c r="F152" s="6"/>
      <c r="G152" s="9"/>
    </row>
    <row r="153" spans="1:7" s="4" customFormat="1" ht="15">
      <c r="A153" s="8" t="s">
        <v>35</v>
      </c>
      <c r="B153" s="6">
        <f t="shared" ref="B153:B156" si="2">0+0</f>
        <v>0</v>
      </c>
      <c r="C153" s="9">
        <v>0</v>
      </c>
      <c r="D153" s="6">
        <f t="shared" ref="D153:F156" si="3">0+0</f>
        <v>0</v>
      </c>
      <c r="E153" s="6">
        <f t="shared" si="3"/>
        <v>0</v>
      </c>
      <c r="F153" s="6">
        <f t="shared" si="3"/>
        <v>0</v>
      </c>
      <c r="G153" s="9"/>
    </row>
    <row r="154" spans="1:7" s="4" customFormat="1" ht="15">
      <c r="A154" s="8" t="s">
        <v>36</v>
      </c>
      <c r="B154" s="6">
        <f t="shared" si="2"/>
        <v>0</v>
      </c>
      <c r="C154" s="9">
        <v>0</v>
      </c>
      <c r="D154" s="6">
        <f t="shared" si="3"/>
        <v>0</v>
      </c>
      <c r="E154" s="6">
        <f t="shared" si="3"/>
        <v>0</v>
      </c>
      <c r="F154" s="6">
        <f t="shared" si="3"/>
        <v>0</v>
      </c>
      <c r="G154" s="9"/>
    </row>
    <row r="155" spans="1:7" s="4" customFormat="1" ht="15">
      <c r="A155" s="8" t="s">
        <v>37</v>
      </c>
      <c r="B155" s="6">
        <f t="shared" si="2"/>
        <v>0</v>
      </c>
      <c r="C155" s="9">
        <v>0</v>
      </c>
      <c r="D155" s="6">
        <f t="shared" si="3"/>
        <v>0</v>
      </c>
      <c r="E155" s="6">
        <f t="shared" si="3"/>
        <v>0</v>
      </c>
      <c r="F155" s="6">
        <f t="shared" si="3"/>
        <v>0</v>
      </c>
      <c r="G155" s="9"/>
    </row>
    <row r="156" spans="1:7" s="4" customFormat="1" ht="15">
      <c r="A156" s="8" t="s">
        <v>38</v>
      </c>
      <c r="B156" s="6">
        <f t="shared" si="2"/>
        <v>0</v>
      </c>
      <c r="C156" s="9">
        <v>0</v>
      </c>
      <c r="D156" s="6">
        <f t="shared" si="3"/>
        <v>0</v>
      </c>
      <c r="E156" s="6">
        <f t="shared" si="3"/>
        <v>0</v>
      </c>
      <c r="F156" s="6">
        <f t="shared" si="3"/>
        <v>0</v>
      </c>
      <c r="G156" s="9"/>
    </row>
    <row r="157" spans="1:7" s="4" customFormat="1" ht="15">
      <c r="A157" s="8" t="s">
        <v>39</v>
      </c>
      <c r="B157" s="6">
        <v>0</v>
      </c>
      <c r="C157" s="9">
        <v>0</v>
      </c>
      <c r="D157" s="6">
        <v>0</v>
      </c>
      <c r="E157" s="6">
        <v>0</v>
      </c>
      <c r="F157" s="6">
        <v>0</v>
      </c>
      <c r="G157" s="9"/>
    </row>
    <row r="158" spans="1:7" s="4" customFormat="1" ht="17.25">
      <c r="A158" s="8" t="s">
        <v>40</v>
      </c>
      <c r="B158" s="54">
        <v>0</v>
      </c>
      <c r="C158" s="10">
        <v>0</v>
      </c>
      <c r="D158" s="54">
        <v>0</v>
      </c>
      <c r="E158" s="54">
        <v>0</v>
      </c>
      <c r="F158" s="54">
        <v>0</v>
      </c>
      <c r="G158" s="9"/>
    </row>
    <row r="159" spans="1:7" s="4" customFormat="1" ht="15">
      <c r="A159" s="8" t="s">
        <v>42</v>
      </c>
      <c r="B159" s="54">
        <f>SUM(B153:B158)</f>
        <v>0</v>
      </c>
      <c r="C159" s="38">
        <f>SUM(C153:C158)</f>
        <v>0</v>
      </c>
      <c r="D159" s="54">
        <f>SUM(D153:D158)</f>
        <v>0</v>
      </c>
      <c r="E159" s="54">
        <f>SUM(E153:E158)</f>
        <v>0</v>
      </c>
      <c r="F159" s="54">
        <f>SUM(F153:F158)</f>
        <v>0</v>
      </c>
      <c r="G159" s="9"/>
    </row>
    <row r="160" spans="1:7" s="4" customFormat="1" ht="15">
      <c r="A160" s="7"/>
      <c r="B160" s="6"/>
      <c r="C160" s="9"/>
      <c r="D160" s="6"/>
      <c r="E160" s="6"/>
      <c r="F160" s="6"/>
      <c r="G160" s="9"/>
    </row>
    <row r="161" spans="1:7" s="4" customFormat="1" ht="15">
      <c r="A161" s="7" t="s">
        <v>60</v>
      </c>
      <c r="B161" s="6"/>
      <c r="C161" s="9"/>
      <c r="D161" s="6"/>
      <c r="E161" s="6"/>
      <c r="F161" s="6"/>
      <c r="G161" s="9"/>
    </row>
    <row r="162" spans="1:7" s="4" customFormat="1" ht="15">
      <c r="A162" s="8" t="s">
        <v>35</v>
      </c>
      <c r="B162" s="6">
        <v>0</v>
      </c>
      <c r="C162" s="6">
        <v>0</v>
      </c>
      <c r="D162" s="6">
        <v>0</v>
      </c>
      <c r="E162" s="6">
        <v>0</v>
      </c>
      <c r="F162" s="6">
        <v>0</v>
      </c>
      <c r="G162" s="9"/>
    </row>
    <row r="163" spans="1:7" s="4" customFormat="1" ht="15">
      <c r="A163" s="8" t="s">
        <v>36</v>
      </c>
      <c r="B163" s="6">
        <v>80987.490000000005</v>
      </c>
      <c r="C163" s="6">
        <v>70169.14</v>
      </c>
      <c r="D163" s="6">
        <v>35147</v>
      </c>
      <c r="E163" s="6">
        <v>100000</v>
      </c>
      <c r="F163" s="6">
        <v>72448</v>
      </c>
      <c r="G163" s="9"/>
    </row>
    <row r="164" spans="1:7" s="4" customFormat="1" ht="15">
      <c r="A164" s="8" t="s">
        <v>37</v>
      </c>
      <c r="B164" s="6">
        <v>335672.99</v>
      </c>
      <c r="C164" s="6">
        <v>210008.47</v>
      </c>
      <c r="D164" s="6">
        <v>103820</v>
      </c>
      <c r="E164" s="6">
        <v>50000</v>
      </c>
      <c r="F164" s="6">
        <v>51000</v>
      </c>
      <c r="G164" s="9"/>
    </row>
    <row r="165" spans="1:7" s="4" customFormat="1" ht="15">
      <c r="A165" s="8" t="s">
        <v>38</v>
      </c>
      <c r="B165" s="6">
        <v>0</v>
      </c>
      <c r="C165" s="6">
        <v>5214.37</v>
      </c>
      <c r="D165" s="6">
        <v>0</v>
      </c>
      <c r="E165" s="6">
        <v>0</v>
      </c>
      <c r="F165" s="6">
        <v>0</v>
      </c>
      <c r="G165" s="9"/>
    </row>
    <row r="166" spans="1:7" s="4" customFormat="1" ht="15">
      <c r="A166" s="8" t="s">
        <v>39</v>
      </c>
      <c r="B166" s="6">
        <v>0</v>
      </c>
      <c r="C166" s="6">
        <v>0</v>
      </c>
      <c r="D166" s="6">
        <v>0</v>
      </c>
      <c r="E166" s="6">
        <v>0</v>
      </c>
      <c r="F166" s="6">
        <v>0</v>
      </c>
      <c r="G166" s="9"/>
    </row>
    <row r="167" spans="1:7" s="4" customFormat="1" ht="15">
      <c r="A167" s="8" t="s">
        <v>40</v>
      </c>
      <c r="B167" s="54">
        <v>24804.07</v>
      </c>
      <c r="C167" s="54">
        <v>561256.68000000005</v>
      </c>
      <c r="D167" s="54">
        <v>397194</v>
      </c>
      <c r="E167" s="54">
        <v>255000</v>
      </c>
      <c r="F167" s="54">
        <v>289652</v>
      </c>
      <c r="G167" s="9"/>
    </row>
    <row r="168" spans="1:7" s="4" customFormat="1" ht="15">
      <c r="A168" s="8" t="s">
        <v>42</v>
      </c>
      <c r="B168" s="54">
        <f>SUM(B162:B167)</f>
        <v>441464.55</v>
      </c>
      <c r="C168" s="38">
        <f>SUM(C162:C167)</f>
        <v>846648.66</v>
      </c>
      <c r="D168" s="54">
        <f>SUM(D162:D167)</f>
        <v>536161</v>
      </c>
      <c r="E168" s="54">
        <f>SUM(E162:E167)</f>
        <v>405000</v>
      </c>
      <c r="F168" s="54">
        <f>SUM(F162:F167)</f>
        <v>413100</v>
      </c>
      <c r="G168" s="9"/>
    </row>
    <row r="169" spans="1:7" s="4" customFormat="1" ht="15">
      <c r="A169" s="7"/>
      <c r="B169" s="6"/>
      <c r="C169" s="38"/>
      <c r="D169" s="6"/>
      <c r="E169" s="6"/>
      <c r="F169" s="6"/>
      <c r="G169" s="9"/>
    </row>
    <row r="170" spans="1:7" s="4" customFormat="1" ht="15">
      <c r="A170" s="41" t="s">
        <v>69</v>
      </c>
      <c r="B170" s="6"/>
      <c r="C170" s="9"/>
      <c r="D170" s="6"/>
      <c r="E170" s="6"/>
      <c r="F170" s="6"/>
      <c r="G170" s="9"/>
    </row>
    <row r="171" spans="1:7" s="4" customFormat="1" ht="15">
      <c r="A171" s="8" t="s">
        <v>35</v>
      </c>
      <c r="B171" s="6">
        <v>0</v>
      </c>
      <c r="C171" s="6">
        <v>0</v>
      </c>
      <c r="D171" s="6">
        <v>0</v>
      </c>
      <c r="E171" s="6">
        <v>0</v>
      </c>
      <c r="F171" s="6">
        <v>0</v>
      </c>
      <c r="G171" s="9"/>
    </row>
    <row r="172" spans="1:7" s="4" customFormat="1" ht="15">
      <c r="A172" s="8" t="s">
        <v>36</v>
      </c>
      <c r="B172" s="6">
        <v>0</v>
      </c>
      <c r="C172" s="6">
        <v>0</v>
      </c>
      <c r="D172" s="6">
        <v>4456091</v>
      </c>
      <c r="E172" s="6">
        <v>3480895</v>
      </c>
      <c r="F172" s="6">
        <v>5780895</v>
      </c>
      <c r="G172" s="9"/>
    </row>
    <row r="173" spans="1:7" s="4" customFormat="1" ht="15">
      <c r="A173" s="8" t="s">
        <v>37</v>
      </c>
      <c r="B173" s="6">
        <v>0</v>
      </c>
      <c r="C173" s="6">
        <v>0</v>
      </c>
      <c r="D173" s="6">
        <v>0</v>
      </c>
      <c r="E173" s="6">
        <v>0</v>
      </c>
      <c r="F173" s="6">
        <v>0</v>
      </c>
      <c r="G173" s="9"/>
    </row>
    <row r="174" spans="1:7" s="4" customFormat="1" ht="15">
      <c r="A174" s="8" t="s">
        <v>38</v>
      </c>
      <c r="B174" s="6">
        <v>0</v>
      </c>
      <c r="C174" s="6">
        <v>0</v>
      </c>
      <c r="D174" s="6">
        <v>0</v>
      </c>
      <c r="E174" s="6">
        <v>0</v>
      </c>
      <c r="F174" s="6">
        <v>0</v>
      </c>
      <c r="G174" s="9"/>
    </row>
    <row r="175" spans="1:7" s="4" customFormat="1" ht="15">
      <c r="A175" s="8" t="s">
        <v>39</v>
      </c>
      <c r="B175" s="6">
        <v>0</v>
      </c>
      <c r="C175" s="6">
        <v>0</v>
      </c>
      <c r="D175" s="6">
        <v>0</v>
      </c>
      <c r="E175" s="6">
        <v>0</v>
      </c>
      <c r="F175" s="6">
        <v>0</v>
      </c>
      <c r="G175" s="9"/>
    </row>
    <row r="176" spans="1:7" s="4" customFormat="1" ht="15">
      <c r="A176" s="8" t="s">
        <v>40</v>
      </c>
      <c r="B176" s="54">
        <v>0</v>
      </c>
      <c r="C176" s="54">
        <v>0</v>
      </c>
      <c r="D176" s="54">
        <v>0</v>
      </c>
      <c r="E176" s="54">
        <v>0</v>
      </c>
      <c r="F176" s="54">
        <v>0</v>
      </c>
      <c r="G176" s="9"/>
    </row>
    <row r="177" spans="1:7" s="4" customFormat="1" ht="15">
      <c r="A177" s="8" t="s">
        <v>42</v>
      </c>
      <c r="B177" s="54">
        <f>SUM(B171:B176)</f>
        <v>0</v>
      </c>
      <c r="C177" s="38">
        <f>SUM(C171:C176)</f>
        <v>0</v>
      </c>
      <c r="D177" s="54">
        <f>SUM(D171:D176)</f>
        <v>4456091</v>
      </c>
      <c r="E177" s="54">
        <f>SUM(E171:E176)</f>
        <v>3480895</v>
      </c>
      <c r="F177" s="54">
        <f>SUM(F171:F176)</f>
        <v>5780895</v>
      </c>
      <c r="G177" s="9"/>
    </row>
    <row r="178" spans="1:7" s="4" customFormat="1" ht="15">
      <c r="A178" s="8"/>
      <c r="B178" s="54"/>
      <c r="C178" s="9"/>
      <c r="D178" s="54"/>
      <c r="E178" s="54"/>
      <c r="F178" s="54"/>
      <c r="G178" s="9"/>
    </row>
    <row r="179" spans="1:7" s="4" customFormat="1" ht="15">
      <c r="A179" s="41" t="s">
        <v>84</v>
      </c>
      <c r="B179" s="6"/>
      <c r="C179" s="9"/>
      <c r="D179" s="6"/>
      <c r="E179" s="6"/>
      <c r="F179" s="6"/>
      <c r="G179" s="9"/>
    </row>
    <row r="180" spans="1:7" s="4" customFormat="1" ht="15">
      <c r="A180" s="8" t="s">
        <v>35</v>
      </c>
      <c r="B180" s="6">
        <f>0+0</f>
        <v>0</v>
      </c>
      <c r="C180" s="6">
        <f>0+0</f>
        <v>0</v>
      </c>
      <c r="D180" s="6">
        <f>0+0</f>
        <v>0</v>
      </c>
      <c r="E180" s="6">
        <f>0+0</f>
        <v>0</v>
      </c>
      <c r="F180" s="6">
        <f>0+0</f>
        <v>0</v>
      </c>
      <c r="G180" s="9"/>
    </row>
    <row r="181" spans="1:7" s="4" customFormat="1" ht="15">
      <c r="A181" s="8" t="s">
        <v>36</v>
      </c>
      <c r="B181" s="6">
        <v>0</v>
      </c>
      <c r="C181" s="6">
        <v>0</v>
      </c>
      <c r="D181" s="6">
        <v>0</v>
      </c>
      <c r="E181" s="6">
        <v>0</v>
      </c>
      <c r="F181" s="6">
        <v>0</v>
      </c>
      <c r="G181" s="9"/>
    </row>
    <row r="182" spans="1:7" s="4" customFormat="1" ht="15">
      <c r="A182" s="8" t="s">
        <v>37</v>
      </c>
      <c r="B182" s="6">
        <v>0</v>
      </c>
      <c r="C182" s="6">
        <v>0</v>
      </c>
      <c r="D182" s="6">
        <v>0</v>
      </c>
      <c r="E182" s="6">
        <v>0</v>
      </c>
      <c r="F182" s="6">
        <v>0</v>
      </c>
      <c r="G182" s="9"/>
    </row>
    <row r="183" spans="1:7" s="4" customFormat="1" ht="15">
      <c r="A183" s="8" t="s">
        <v>38</v>
      </c>
      <c r="B183" s="6">
        <v>49200</v>
      </c>
      <c r="C183" s="6">
        <v>0</v>
      </c>
      <c r="D183" s="6">
        <v>0</v>
      </c>
      <c r="E183" s="6">
        <v>80000</v>
      </c>
      <c r="F183" s="6">
        <v>80000</v>
      </c>
      <c r="G183" s="9"/>
    </row>
    <row r="184" spans="1:7" s="4" customFormat="1" ht="15">
      <c r="A184" s="8" t="s">
        <v>39</v>
      </c>
      <c r="B184" s="6">
        <v>0</v>
      </c>
      <c r="C184" s="6">
        <v>0</v>
      </c>
      <c r="D184" s="6">
        <v>0</v>
      </c>
      <c r="E184" s="6">
        <v>0</v>
      </c>
      <c r="F184" s="6">
        <v>0</v>
      </c>
      <c r="G184" s="9"/>
    </row>
    <row r="185" spans="1:7" s="4" customFormat="1" ht="15">
      <c r="A185" s="8" t="s">
        <v>40</v>
      </c>
      <c r="B185" s="54">
        <v>0</v>
      </c>
      <c r="C185" s="54">
        <v>0</v>
      </c>
      <c r="D185" s="54">
        <v>0</v>
      </c>
      <c r="E185" s="54">
        <v>0</v>
      </c>
      <c r="F185" s="54">
        <v>0</v>
      </c>
      <c r="G185" s="9"/>
    </row>
    <row r="186" spans="1:7" s="4" customFormat="1" ht="15">
      <c r="A186" s="8" t="s">
        <v>42</v>
      </c>
      <c r="B186" s="54">
        <f>SUM(B180:B185)</f>
        <v>49200</v>
      </c>
      <c r="C186" s="38">
        <f>SUM(C180:C185)</f>
        <v>0</v>
      </c>
      <c r="D186" s="54">
        <f>SUM(D180:D185)</f>
        <v>0</v>
      </c>
      <c r="E186" s="54">
        <f>SUM(E180:E185)</f>
        <v>80000</v>
      </c>
      <c r="F186" s="54">
        <f>SUM(F180:F185)</f>
        <v>80000</v>
      </c>
      <c r="G186" s="9"/>
    </row>
    <row r="187" spans="1:7" s="4" customFormat="1" ht="15">
      <c r="A187" s="8"/>
      <c r="B187" s="54"/>
      <c r="C187" s="54"/>
      <c r="D187" s="54"/>
      <c r="E187" s="54"/>
      <c r="F187" s="54"/>
      <c r="G187" s="9"/>
    </row>
    <row r="188" spans="1:7" s="4" customFormat="1" ht="15">
      <c r="A188" s="41" t="s">
        <v>82</v>
      </c>
      <c r="B188" s="6"/>
      <c r="C188" s="6"/>
      <c r="D188" s="6"/>
      <c r="E188" s="6"/>
      <c r="F188" s="6"/>
      <c r="G188" s="9"/>
    </row>
    <row r="189" spans="1:7" s="4" customFormat="1" ht="15">
      <c r="A189" s="8" t="s">
        <v>35</v>
      </c>
      <c r="B189" s="6">
        <v>0</v>
      </c>
      <c r="C189" s="6">
        <v>0</v>
      </c>
      <c r="D189" s="6">
        <v>0</v>
      </c>
      <c r="E189" s="6">
        <v>0</v>
      </c>
      <c r="F189" s="6">
        <v>0</v>
      </c>
      <c r="G189" s="9"/>
    </row>
    <row r="190" spans="1:7" s="4" customFormat="1" ht="15">
      <c r="A190" s="8" t="s">
        <v>36</v>
      </c>
      <c r="B190" s="6">
        <v>6319</v>
      </c>
      <c r="C190" s="6">
        <v>6764</v>
      </c>
      <c r="D190" s="6">
        <v>5518</v>
      </c>
      <c r="E190" s="6">
        <v>10000</v>
      </c>
      <c r="F190" s="6">
        <v>10000</v>
      </c>
      <c r="G190" s="9"/>
    </row>
    <row r="191" spans="1:7" s="4" customFormat="1" ht="15">
      <c r="A191" s="8" t="s">
        <v>37</v>
      </c>
      <c r="B191" s="6">
        <v>0</v>
      </c>
      <c r="C191" s="6">
        <v>0</v>
      </c>
      <c r="D191" s="6">
        <v>0</v>
      </c>
      <c r="E191" s="6">
        <v>0</v>
      </c>
      <c r="F191" s="6">
        <v>0</v>
      </c>
      <c r="G191" s="9"/>
    </row>
    <row r="192" spans="1:7" s="4" customFormat="1" ht="15">
      <c r="A192" s="8" t="s">
        <v>38</v>
      </c>
      <c r="B192" s="6">
        <v>0</v>
      </c>
      <c r="C192" s="6">
        <v>0</v>
      </c>
      <c r="D192" s="6">
        <v>0</v>
      </c>
      <c r="E192" s="6">
        <v>0</v>
      </c>
      <c r="F192" s="6">
        <v>0</v>
      </c>
      <c r="G192" s="9"/>
    </row>
    <row r="193" spans="1:7" s="4" customFormat="1" ht="15">
      <c r="A193" s="8" t="s">
        <v>39</v>
      </c>
      <c r="B193" s="6">
        <v>0</v>
      </c>
      <c r="C193" s="6">
        <v>0</v>
      </c>
      <c r="D193" s="6">
        <v>0</v>
      </c>
      <c r="E193" s="6">
        <v>0</v>
      </c>
      <c r="F193" s="6">
        <v>0</v>
      </c>
      <c r="G193" s="9"/>
    </row>
    <row r="194" spans="1:7" s="4" customFormat="1" ht="15">
      <c r="A194" s="8" t="s">
        <v>40</v>
      </c>
      <c r="B194" s="54">
        <v>0</v>
      </c>
      <c r="C194" s="54">
        <v>0</v>
      </c>
      <c r="D194" s="54">
        <v>0</v>
      </c>
      <c r="E194" s="54">
        <v>0</v>
      </c>
      <c r="F194" s="54">
        <v>0</v>
      </c>
      <c r="G194" s="9"/>
    </row>
    <row r="195" spans="1:7" s="4" customFormat="1" ht="15">
      <c r="A195" s="8" t="s">
        <v>42</v>
      </c>
      <c r="B195" s="54">
        <f>SUM(B189:B194)</f>
        <v>6319</v>
      </c>
      <c r="C195" s="38">
        <f>SUM(C189:C194)</f>
        <v>6764</v>
      </c>
      <c r="D195" s="54">
        <f>SUM(D189:D194)</f>
        <v>5518</v>
      </c>
      <c r="E195" s="54">
        <f>SUM(E189:E194)</f>
        <v>10000</v>
      </c>
      <c r="F195" s="54">
        <f>SUM(F189:F194)</f>
        <v>10000</v>
      </c>
      <c r="G195" s="9"/>
    </row>
    <row r="196" spans="1:7" s="4" customFormat="1" ht="15">
      <c r="A196" s="7"/>
      <c r="B196" s="6"/>
      <c r="C196" s="9"/>
      <c r="D196" s="6"/>
      <c r="E196" s="6"/>
      <c r="F196" s="6"/>
      <c r="G196" s="9"/>
    </row>
    <row r="197" spans="1:7" s="4" customFormat="1" ht="15">
      <c r="A197" s="41" t="s">
        <v>70</v>
      </c>
      <c r="B197" s="6"/>
      <c r="C197" s="9"/>
      <c r="D197" s="6"/>
      <c r="E197" s="6"/>
      <c r="F197" s="6"/>
      <c r="G197" s="9"/>
    </row>
    <row r="198" spans="1:7" s="4" customFormat="1" ht="15">
      <c r="A198" s="8" t="s">
        <v>35</v>
      </c>
      <c r="B198" s="6">
        <v>0</v>
      </c>
      <c r="C198" s="6">
        <v>0</v>
      </c>
      <c r="D198" s="6">
        <v>0</v>
      </c>
      <c r="E198" s="6">
        <v>0</v>
      </c>
      <c r="F198" s="6">
        <v>0</v>
      </c>
      <c r="G198" s="9"/>
    </row>
    <row r="199" spans="1:7" s="4" customFormat="1" ht="15">
      <c r="A199" s="8" t="s">
        <v>36</v>
      </c>
      <c r="B199" s="6">
        <v>0</v>
      </c>
      <c r="C199" s="6">
        <v>0</v>
      </c>
      <c r="D199" s="6">
        <v>0</v>
      </c>
      <c r="E199" s="6">
        <v>0</v>
      </c>
      <c r="F199" s="6">
        <v>0</v>
      </c>
      <c r="G199" s="9"/>
    </row>
    <row r="200" spans="1:7" s="4" customFormat="1" ht="15">
      <c r="A200" s="8" t="s">
        <v>37</v>
      </c>
      <c r="B200" s="6">
        <v>0</v>
      </c>
      <c r="C200" s="6">
        <v>0</v>
      </c>
      <c r="D200" s="6">
        <v>0</v>
      </c>
      <c r="E200" s="6">
        <v>0</v>
      </c>
      <c r="F200" s="6">
        <v>0</v>
      </c>
      <c r="G200" s="9"/>
    </row>
    <row r="201" spans="1:7" s="4" customFormat="1" ht="15">
      <c r="A201" s="8" t="s">
        <v>38</v>
      </c>
      <c r="B201" s="51">
        <v>917927.98</v>
      </c>
      <c r="C201" s="51">
        <v>975286.97</v>
      </c>
      <c r="D201" s="51">
        <v>1742623</v>
      </c>
      <c r="E201" s="51">
        <v>1711144</v>
      </c>
      <c r="F201" s="51">
        <v>1711144</v>
      </c>
      <c r="G201" s="9"/>
    </row>
    <row r="202" spans="1:7" s="4" customFormat="1" ht="15">
      <c r="A202" s="8" t="s">
        <v>39</v>
      </c>
      <c r="B202" s="6">
        <v>0</v>
      </c>
      <c r="C202" s="6">
        <v>0</v>
      </c>
      <c r="D202" s="6">
        <v>0</v>
      </c>
      <c r="E202" s="6">
        <v>0</v>
      </c>
      <c r="F202" s="6">
        <v>0</v>
      </c>
      <c r="G202" s="9"/>
    </row>
    <row r="203" spans="1:7" s="4" customFormat="1" ht="15">
      <c r="A203" s="8" t="s">
        <v>40</v>
      </c>
      <c r="B203" s="54">
        <v>0</v>
      </c>
      <c r="C203" s="54">
        <v>0</v>
      </c>
      <c r="D203" s="54">
        <v>0</v>
      </c>
      <c r="E203" s="54">
        <v>0</v>
      </c>
      <c r="F203" s="54">
        <v>0</v>
      </c>
      <c r="G203" s="9"/>
    </row>
    <row r="204" spans="1:7" s="4" customFormat="1" ht="15">
      <c r="A204" s="8" t="s">
        <v>42</v>
      </c>
      <c r="B204" s="54">
        <f>SUM(B198:B203)</f>
        <v>917927.98</v>
      </c>
      <c r="C204" s="38">
        <f>SUM(C198:C203)</f>
        <v>975286.97</v>
      </c>
      <c r="D204" s="54">
        <f>SUM(D198:D203)</f>
        <v>1742623</v>
      </c>
      <c r="E204" s="54">
        <f>SUM(E198:E203)</f>
        <v>1711144</v>
      </c>
      <c r="F204" s="54">
        <f>SUM(F198:F203)</f>
        <v>1711144</v>
      </c>
      <c r="G204" s="9"/>
    </row>
    <row r="205" spans="1:7" s="4" customFormat="1" ht="15">
      <c r="A205" s="8"/>
      <c r="B205" s="54"/>
      <c r="C205" s="38"/>
      <c r="D205" s="54"/>
      <c r="E205" s="54"/>
      <c r="F205" s="54"/>
      <c r="G205" s="9"/>
    </row>
    <row r="206" spans="1:7" s="4" customFormat="1" ht="15">
      <c r="A206" s="41" t="s">
        <v>83</v>
      </c>
      <c r="B206" s="6"/>
      <c r="C206" s="9"/>
      <c r="D206" s="6"/>
      <c r="E206" s="6"/>
      <c r="F206" s="6"/>
      <c r="G206" s="9"/>
    </row>
    <row r="207" spans="1:7" s="4" customFormat="1" ht="15">
      <c r="A207" s="8" t="s">
        <v>35</v>
      </c>
      <c r="B207" s="6">
        <v>0</v>
      </c>
      <c r="C207" s="6">
        <v>0</v>
      </c>
      <c r="D207" s="6">
        <v>0</v>
      </c>
      <c r="E207" s="6">
        <v>0</v>
      </c>
      <c r="F207" s="6">
        <v>0</v>
      </c>
      <c r="G207" s="9"/>
    </row>
    <row r="208" spans="1:7" s="4" customFormat="1" ht="15">
      <c r="A208" s="8" t="s">
        <v>36</v>
      </c>
      <c r="B208" s="51">
        <v>1186515.9099999999</v>
      </c>
      <c r="C208" s="51">
        <v>1279806.92</v>
      </c>
      <c r="D208" s="51">
        <v>1471898</v>
      </c>
      <c r="E208" s="51">
        <v>1450000</v>
      </c>
      <c r="F208" s="51">
        <v>1450000</v>
      </c>
      <c r="G208" s="9"/>
    </row>
    <row r="209" spans="1:7" s="4" customFormat="1" ht="15">
      <c r="A209" s="8" t="s">
        <v>37</v>
      </c>
      <c r="B209" s="6">
        <v>0</v>
      </c>
      <c r="C209" s="6">
        <v>0</v>
      </c>
      <c r="D209" s="6">
        <v>0</v>
      </c>
      <c r="E209" s="6">
        <v>0</v>
      </c>
      <c r="F209" s="6">
        <v>0</v>
      </c>
      <c r="G209" s="9"/>
    </row>
    <row r="210" spans="1:7" s="4" customFormat="1" ht="15">
      <c r="A210" s="8" t="s">
        <v>38</v>
      </c>
      <c r="B210" s="6">
        <v>0</v>
      </c>
      <c r="C210" s="6">
        <v>0</v>
      </c>
      <c r="D210" s="6">
        <v>0</v>
      </c>
      <c r="E210" s="6">
        <v>0</v>
      </c>
      <c r="F210" s="6">
        <v>0</v>
      </c>
      <c r="G210" s="9"/>
    </row>
    <row r="211" spans="1:7" s="4" customFormat="1" ht="15">
      <c r="A211" s="8" t="s">
        <v>39</v>
      </c>
      <c r="B211" s="6">
        <v>0</v>
      </c>
      <c r="C211" s="6">
        <v>0</v>
      </c>
      <c r="D211" s="6">
        <v>0</v>
      </c>
      <c r="E211" s="6">
        <v>0</v>
      </c>
      <c r="F211" s="6">
        <v>0</v>
      </c>
      <c r="G211" s="9"/>
    </row>
    <row r="212" spans="1:7" s="4" customFormat="1" ht="15">
      <c r="A212" s="8" t="s">
        <v>40</v>
      </c>
      <c r="B212" s="54">
        <v>0</v>
      </c>
      <c r="C212" s="54">
        <v>0</v>
      </c>
      <c r="D212" s="54">
        <v>0</v>
      </c>
      <c r="E212" s="54">
        <v>0</v>
      </c>
      <c r="F212" s="54">
        <v>0</v>
      </c>
      <c r="G212" s="9"/>
    </row>
    <row r="213" spans="1:7" s="4" customFormat="1" ht="15">
      <c r="A213" s="8" t="s">
        <v>42</v>
      </c>
      <c r="B213" s="54">
        <f>SUM(B207:B212)</f>
        <v>1186515.9099999999</v>
      </c>
      <c r="C213" s="38">
        <f>SUM(C207:C212)</f>
        <v>1279806.92</v>
      </c>
      <c r="D213" s="54">
        <f>SUM(D207:D212)</f>
        <v>1471898</v>
      </c>
      <c r="E213" s="54">
        <f>SUM(E207:E212)</f>
        <v>1450000</v>
      </c>
      <c r="F213" s="54">
        <f>SUM(F207:F212)</f>
        <v>1450000</v>
      </c>
      <c r="G213" s="9"/>
    </row>
    <row r="214" spans="1:7" s="4" customFormat="1" ht="15">
      <c r="A214" s="8"/>
      <c r="B214" s="38"/>
      <c r="C214" s="38"/>
      <c r="D214" s="54"/>
      <c r="E214" s="54"/>
      <c r="F214" s="54"/>
      <c r="G214" s="9"/>
    </row>
    <row r="215" spans="1:7" s="4" customFormat="1" ht="17.25">
      <c r="A215" s="7" t="s">
        <v>23</v>
      </c>
      <c r="B215" s="15">
        <f>B15+B24+B33+B42+B51+B60+B69+B78+B87+B96+B114+B105+B123+B132+B141+B150+B159+B168+B177+B186+B195+B204+B213</f>
        <v>186203437.70000008</v>
      </c>
      <c r="C215" s="15">
        <f>C15+C24+C33+C42+C51+C60+C69+C78+C87+C96+C114+C105+C123+C132+C141+C150+C159+C168+C177+C186+C195+C204+C213</f>
        <v>196505736.3000001</v>
      </c>
      <c r="D215" s="15">
        <f>D15+D24+D33+D42+D51+D60+D69+D78+D87+D96+D114+D105+D123+D132+D141+D150+D159+D168+D177+D186+D195+D204+D213</f>
        <v>219056078</v>
      </c>
      <c r="E215" s="15">
        <f>E15+E24+E33+E42+E51+E60+E69+E78+E87+E96+E114+E105+E123+E132+E141+E150+E159+E168+E177+E186+E195+E204+E213</f>
        <v>242480564.71000031</v>
      </c>
      <c r="F215" s="15">
        <f>F15+F24+F33+F42+F51+F60+F69+F78+F87+F96+F114+F105+F123+F132+F141+F150+F159+F168+F177+F186+F195+F204+F213+1</f>
        <v>254028364</v>
      </c>
      <c r="G215" s="8"/>
    </row>
    <row r="216" spans="1:7" s="4" customFormat="1" ht="15">
      <c r="A216" s="8"/>
      <c r="B216" s="54"/>
      <c r="C216" s="17"/>
      <c r="D216" s="6"/>
      <c r="E216" s="6"/>
      <c r="F216" s="6"/>
      <c r="G216" s="8"/>
    </row>
    <row r="217" spans="1:7" s="4" customFormat="1" ht="15">
      <c r="A217" s="8"/>
      <c r="B217" s="54"/>
      <c r="C217" s="17"/>
      <c r="D217" s="6"/>
      <c r="E217" s="6"/>
      <c r="F217" s="6"/>
      <c r="G217" s="8"/>
    </row>
    <row r="218" spans="1:7" s="4" customFormat="1" ht="15">
      <c r="A218" s="8"/>
      <c r="B218" s="23"/>
      <c r="C218" s="17"/>
      <c r="D218" s="6"/>
      <c r="E218" s="6"/>
      <c r="F218" s="6"/>
      <c r="G218" s="8"/>
    </row>
    <row r="219" spans="1:7" s="4" customFormat="1" ht="15">
      <c r="A219" s="7" t="s">
        <v>61</v>
      </c>
      <c r="B219" s="23"/>
      <c r="C219" s="17"/>
      <c r="D219" s="6"/>
      <c r="E219" s="6"/>
      <c r="F219" s="6"/>
    </row>
    <row r="220" spans="1:7" s="4" customFormat="1" ht="15">
      <c r="A220" s="8" t="s">
        <v>35</v>
      </c>
      <c r="B220" s="6">
        <f t="shared" ref="B220:E220" si="4">B9+B18+B27+B36+B45+B54+B63+B72+B81+B90+B99+B108+B117+B126+B135+B144+B153+B162+B171+B180+B189+B198+B207</f>
        <v>146833748.11000004</v>
      </c>
      <c r="C220" s="6">
        <f t="shared" si="4"/>
        <v>155144202.63000011</v>
      </c>
      <c r="D220" s="6">
        <f t="shared" si="4"/>
        <v>167856778</v>
      </c>
      <c r="E220" s="6">
        <f t="shared" si="4"/>
        <v>187858397.63000026</v>
      </c>
      <c r="F220" s="6">
        <f t="shared" ref="F220:F225" si="5">F9+F18+F27+F36+F45+F54+F63+F72+F81+F90+F99+F108+F117+F126+F135+F144+F153+F162+F171+F180+F189+F198+F207</f>
        <v>193984727</v>
      </c>
      <c r="G220" s="9"/>
    </row>
    <row r="221" spans="1:7" s="4" customFormat="1" ht="15">
      <c r="A221" s="8" t="s">
        <v>36</v>
      </c>
      <c r="B221" s="6">
        <f t="shared" ref="B221:E221" si="6">B10+B19+B28+B37+B46+B55+B64+B73+B82+B91+B100+B109+B118+B127+B136+B145+B154+B163+B172+B181+B190+B199+B208</f>
        <v>26656821.850000001</v>
      </c>
      <c r="C221" s="6">
        <f t="shared" si="6"/>
        <v>27815026.619999997</v>
      </c>
      <c r="D221" s="6">
        <f t="shared" si="6"/>
        <v>35433700</v>
      </c>
      <c r="E221" s="6">
        <f t="shared" si="6"/>
        <v>38056712.709999993</v>
      </c>
      <c r="F221" s="6">
        <f t="shared" si="5"/>
        <v>42366053</v>
      </c>
      <c r="G221" s="9"/>
    </row>
    <row r="222" spans="1:7" s="4" customFormat="1" ht="15">
      <c r="A222" s="8" t="s">
        <v>37</v>
      </c>
      <c r="B222" s="6">
        <f t="shared" ref="B222:E222" si="7">B11+B20+B29+B38+B47+B56+B65+B74+B83+B92+B101+B110+B119+B128+B137+B146+B155+B164+B173+B182+B191+B200+B209</f>
        <v>7775654.0200000014</v>
      </c>
      <c r="C222" s="6">
        <f t="shared" si="7"/>
        <v>8336883.3799999999</v>
      </c>
      <c r="D222" s="6">
        <f t="shared" si="7"/>
        <v>9374410</v>
      </c>
      <c r="E222" s="6">
        <f t="shared" si="7"/>
        <v>9992488.040000001</v>
      </c>
      <c r="F222" s="6">
        <f t="shared" si="5"/>
        <v>9904020</v>
      </c>
      <c r="G222" s="9"/>
    </row>
    <row r="223" spans="1:7" s="4" customFormat="1" ht="15">
      <c r="A223" s="8" t="s">
        <v>38</v>
      </c>
      <c r="B223" s="6">
        <f t="shared" ref="B223:E223" si="8">B12+B21+B30+B39+B48+B57+B66+B75+B84+B93+B102+B111+B120+B129+B138+B147+B156+B165+B174+B183+B192+B201+B210</f>
        <v>4072813.0000000005</v>
      </c>
      <c r="C223" s="6">
        <f t="shared" si="8"/>
        <v>4092560.8000000007</v>
      </c>
      <c r="D223" s="6">
        <f t="shared" si="8"/>
        <v>5263240</v>
      </c>
      <c r="E223" s="6">
        <f t="shared" si="8"/>
        <v>5874987.3300000001</v>
      </c>
      <c r="F223" s="6">
        <f t="shared" si="5"/>
        <v>6923130</v>
      </c>
      <c r="G223" s="9"/>
    </row>
    <row r="224" spans="1:7" s="4" customFormat="1" ht="15">
      <c r="A224" s="8" t="s">
        <v>39</v>
      </c>
      <c r="B224" s="6">
        <f t="shared" ref="B224:E224" si="9">B13+B22+B31+B40+B49+B58+B67+B76+B85+B94+B103+B112+B121+B130+B139+B148+B157+B166+B175+B184+B193+B202+B211</f>
        <v>0</v>
      </c>
      <c r="C224" s="6">
        <f t="shared" si="9"/>
        <v>0</v>
      </c>
      <c r="D224" s="6">
        <f t="shared" si="9"/>
        <v>0</v>
      </c>
      <c r="E224" s="6">
        <f t="shared" si="9"/>
        <v>0</v>
      </c>
      <c r="F224" s="6">
        <f t="shared" si="5"/>
        <v>0</v>
      </c>
      <c r="G224" s="9"/>
    </row>
    <row r="225" spans="1:7" s="4" customFormat="1" ht="17.25">
      <c r="A225" s="8" t="s">
        <v>40</v>
      </c>
      <c r="B225" s="19">
        <f t="shared" ref="B225:E225" si="10">B14+B23+B32+B41+B50+B59+B68+B77+B86+B95+B104+B113+B122+B131+B140+B149+B158+B167+B176+B185+B194+B203+B212</f>
        <v>864400.72</v>
      </c>
      <c r="C225" s="19">
        <f t="shared" si="10"/>
        <v>1117062.8700000001</v>
      </c>
      <c r="D225" s="19">
        <f t="shared" si="10"/>
        <v>1127950</v>
      </c>
      <c r="E225" s="19">
        <f t="shared" si="10"/>
        <v>697979</v>
      </c>
      <c r="F225" s="19">
        <f t="shared" si="5"/>
        <v>850433</v>
      </c>
      <c r="G225" s="9"/>
    </row>
    <row r="226" spans="1:7" s="4" customFormat="1" ht="17.25">
      <c r="A226" s="8"/>
      <c r="B226" s="19"/>
      <c r="C226" s="19"/>
      <c r="D226" s="19"/>
      <c r="E226" s="19"/>
      <c r="F226" s="19"/>
      <c r="G226" s="9"/>
    </row>
    <row r="227" spans="1:7" s="4" customFormat="1" ht="15">
      <c r="A227" s="7" t="s">
        <v>23</v>
      </c>
      <c r="B227" s="54">
        <f>SUM(B220:B225)</f>
        <v>186203437.70000005</v>
      </c>
      <c r="C227" s="54">
        <f>SUM(C220:C225)</f>
        <v>196505736.30000013</v>
      </c>
      <c r="D227" s="54">
        <f>SUM(D220:D225)</f>
        <v>219056078</v>
      </c>
      <c r="E227" s="54">
        <f>SUM(E220:E225)</f>
        <v>242480564.71000028</v>
      </c>
      <c r="F227" s="54">
        <f>SUM(F220:F225)</f>
        <v>254028363</v>
      </c>
      <c r="G227" s="9"/>
    </row>
    <row r="228" spans="1:7" s="4" customFormat="1" ht="12.75" customHeight="1">
      <c r="A228" s="7"/>
      <c r="B228" s="8"/>
      <c r="C228" s="8"/>
      <c r="D228" s="9"/>
      <c r="E228" s="9"/>
      <c r="F228" s="9"/>
    </row>
    <row r="229" spans="1:7" s="4" customFormat="1" ht="12.75" customHeight="1">
      <c r="A229" s="8"/>
      <c r="B229" s="15"/>
      <c r="C229" s="15"/>
      <c r="D229" s="15"/>
      <c r="E229" s="10"/>
      <c r="F229" s="10"/>
    </row>
    <row r="230" spans="1:7" s="4" customFormat="1" ht="12.75" customHeight="1">
      <c r="B230" s="3"/>
      <c r="C230" s="3"/>
      <c r="D230" s="10"/>
      <c r="E230" s="9"/>
      <c r="F230" s="9"/>
    </row>
    <row r="231" spans="1:7" s="4" customFormat="1" ht="12.75" customHeight="1">
      <c r="B231" s="3"/>
      <c r="C231" s="3"/>
      <c r="D231" s="38"/>
      <c r="E231" s="9"/>
      <c r="F231" s="9"/>
    </row>
    <row r="232" spans="1:7" s="4" customFormat="1" ht="12.75" customHeight="1">
      <c r="B232" s="3"/>
      <c r="C232" s="3"/>
      <c r="D232" s="8"/>
      <c r="E232" s="9"/>
      <c r="F232" s="9"/>
    </row>
    <row r="233" spans="1:7" s="4" customFormat="1" ht="12.75" customHeight="1">
      <c r="B233" s="3"/>
      <c r="C233" s="3"/>
      <c r="D233" s="3"/>
      <c r="E233" s="9"/>
      <c r="F233" s="9"/>
    </row>
    <row r="234" spans="1:7" s="4" customFormat="1" ht="12.75" customHeight="1">
      <c r="A234" s="8"/>
      <c r="B234" s="8"/>
      <c r="C234" s="8"/>
      <c r="D234" s="8"/>
      <c r="E234" s="9"/>
      <c r="F234" s="9"/>
    </row>
    <row r="235" spans="1:7" s="4" customFormat="1" ht="12.75" customHeight="1">
      <c r="A235" s="8"/>
      <c r="B235" s="8"/>
      <c r="C235" s="8"/>
      <c r="D235" s="8"/>
      <c r="E235" s="9"/>
      <c r="F235" s="9"/>
    </row>
    <row r="236" spans="1:7" s="4" customFormat="1" ht="12.75" customHeight="1">
      <c r="A236" s="8"/>
      <c r="B236" s="8"/>
      <c r="C236" s="8"/>
      <c r="D236" s="8"/>
      <c r="E236" s="9"/>
      <c r="F236" s="9"/>
    </row>
    <row r="237" spans="1:7" s="4" customFormat="1" ht="12.75" customHeight="1">
      <c r="A237" s="8"/>
      <c r="B237" s="8"/>
      <c r="C237" s="8"/>
      <c r="D237" s="8"/>
      <c r="E237" s="9"/>
      <c r="F237" s="9"/>
    </row>
    <row r="238" spans="1:7" s="4" customFormat="1" ht="12.75" customHeight="1">
      <c r="A238" s="8"/>
      <c r="B238" s="8"/>
      <c r="C238" s="8"/>
      <c r="D238" s="8"/>
      <c r="E238" s="9"/>
      <c r="F238" s="9"/>
    </row>
    <row r="239" spans="1:7" s="4" customFormat="1" ht="12.75" customHeight="1">
      <c r="A239" s="8"/>
      <c r="B239" s="8"/>
      <c r="C239" s="8"/>
      <c r="D239" s="8"/>
      <c r="E239" s="9"/>
      <c r="F239" s="9"/>
    </row>
    <row r="240" spans="1:7" s="4" customFormat="1" ht="12.75" customHeight="1">
      <c r="A240" s="8"/>
      <c r="B240" s="8"/>
      <c r="C240" s="8"/>
      <c r="D240" s="8"/>
      <c r="E240" s="9"/>
      <c r="F240" s="9"/>
    </row>
    <row r="241" spans="1:6" s="4" customFormat="1" ht="12.75" customHeight="1">
      <c r="A241" s="8"/>
      <c r="B241" s="8"/>
      <c r="C241" s="8"/>
      <c r="D241" s="8"/>
      <c r="E241" s="9"/>
      <c r="F241" s="9"/>
    </row>
    <row r="242" spans="1:6" s="4" customFormat="1" ht="12.75" customHeight="1">
      <c r="A242" s="8"/>
      <c r="B242" s="8"/>
      <c r="C242" s="8"/>
      <c r="D242" s="8"/>
      <c r="E242" s="9"/>
      <c r="F242" s="9"/>
    </row>
    <row r="243" spans="1:6" s="4" customFormat="1" ht="12.75" customHeight="1">
      <c r="A243" s="8"/>
      <c r="B243" s="8"/>
      <c r="C243" s="8"/>
      <c r="D243" s="8"/>
      <c r="E243" s="9"/>
      <c r="F243" s="9"/>
    </row>
    <row r="244" spans="1:6" s="4" customFormat="1" ht="12.75" customHeight="1">
      <c r="A244" s="8"/>
      <c r="B244" s="8"/>
      <c r="C244" s="8"/>
      <c r="D244" s="8"/>
      <c r="E244" s="9"/>
      <c r="F244" s="9"/>
    </row>
    <row r="245" spans="1:6" s="4" customFormat="1" ht="12.75" customHeight="1">
      <c r="A245" s="8"/>
      <c r="B245" s="8"/>
      <c r="C245" s="8"/>
      <c r="D245" s="8"/>
      <c r="E245" s="9"/>
      <c r="F245" s="9"/>
    </row>
    <row r="246" spans="1:6" s="4" customFormat="1" ht="12.75" customHeight="1">
      <c r="A246" s="8"/>
      <c r="B246" s="8"/>
      <c r="C246" s="8"/>
      <c r="D246" s="8"/>
      <c r="E246" s="9"/>
      <c r="F246" s="9"/>
    </row>
    <row r="247" spans="1:6" s="4" customFormat="1" ht="12.75" customHeight="1">
      <c r="A247" s="8"/>
      <c r="B247" s="8"/>
      <c r="C247" s="8"/>
      <c r="D247" s="8"/>
      <c r="E247" s="9"/>
      <c r="F247" s="9"/>
    </row>
    <row r="248" spans="1:6" s="4" customFormat="1" ht="12.75" customHeight="1">
      <c r="A248" s="8"/>
      <c r="B248" s="8"/>
      <c r="C248" s="8"/>
      <c r="D248" s="8"/>
      <c r="E248" s="9"/>
      <c r="F248" s="9"/>
    </row>
    <row r="249" spans="1:6" s="4" customFormat="1" ht="12.75" customHeight="1">
      <c r="A249" s="8"/>
      <c r="B249" s="8"/>
      <c r="C249" s="8"/>
      <c r="D249" s="8"/>
      <c r="E249" s="9"/>
      <c r="F249" s="9"/>
    </row>
    <row r="250" spans="1:6" s="4" customFormat="1" ht="12.75" customHeight="1">
      <c r="A250" s="3"/>
      <c r="B250" s="3"/>
      <c r="C250" s="3"/>
      <c r="D250" s="8"/>
      <c r="E250" s="9"/>
      <c r="F250" s="9"/>
    </row>
    <row r="251" spans="1:6" s="4" customFormat="1" ht="12.75" customHeight="1">
      <c r="A251" s="3"/>
      <c r="B251" s="3"/>
      <c r="C251" s="3"/>
      <c r="D251" s="8"/>
      <c r="E251" s="9"/>
      <c r="F251" s="9"/>
    </row>
    <row r="252" spans="1:6" s="4" customFormat="1" ht="12.75" customHeight="1">
      <c r="A252" s="3"/>
      <c r="B252" s="3"/>
      <c r="C252" s="3"/>
      <c r="D252" s="3"/>
      <c r="E252" s="9"/>
      <c r="F252" s="9"/>
    </row>
    <row r="253" spans="1:6" s="4" customFormat="1" ht="12.75" customHeight="1">
      <c r="A253" s="3"/>
      <c r="B253" s="3"/>
      <c r="C253" s="3"/>
      <c r="D253" s="3"/>
      <c r="E253" s="9"/>
      <c r="F253" s="9"/>
    </row>
    <row r="254" spans="1:6" s="4" customFormat="1" ht="12.75" customHeight="1">
      <c r="A254" s="8"/>
      <c r="B254" s="8"/>
      <c r="C254" s="8"/>
      <c r="D254" s="3"/>
      <c r="E254" s="9"/>
      <c r="F254" s="9"/>
    </row>
    <row r="255" spans="1:6" s="4" customFormat="1" ht="12.75" customHeight="1">
      <c r="A255" s="8"/>
      <c r="B255" s="3"/>
      <c r="C255" s="3"/>
      <c r="D255" s="3"/>
      <c r="E255" s="9"/>
      <c r="F255" s="9"/>
    </row>
    <row r="256" spans="1:6" s="4" customFormat="1" ht="12.75" customHeight="1">
      <c r="A256" s="8"/>
      <c r="B256" s="11"/>
      <c r="C256" s="11"/>
      <c r="D256" s="8"/>
      <c r="E256" s="9"/>
      <c r="F256" s="9"/>
    </row>
    <row r="257" spans="1:6" s="4" customFormat="1" ht="12.75" customHeight="1">
      <c r="A257" s="8"/>
      <c r="B257" s="8"/>
      <c r="C257" s="8"/>
      <c r="D257" s="3"/>
      <c r="E257" s="9"/>
      <c r="F257" s="9"/>
    </row>
    <row r="258" spans="1:6" s="4" customFormat="1" ht="12.75" customHeight="1">
      <c r="A258" s="8"/>
      <c r="B258" s="8"/>
      <c r="C258" s="8"/>
      <c r="D258" s="11"/>
      <c r="E258" s="9"/>
      <c r="F258" s="9"/>
    </row>
    <row r="259" spans="1:6" s="4" customFormat="1" ht="12.75" customHeight="1">
      <c r="A259" s="8"/>
      <c r="B259" s="8"/>
      <c r="C259" s="8"/>
      <c r="D259" s="8"/>
      <c r="E259" s="9"/>
      <c r="F259" s="9"/>
    </row>
    <row r="260" spans="1:6" s="4" customFormat="1" ht="12.75" customHeight="1">
      <c r="A260" s="8"/>
      <c r="B260" s="8"/>
      <c r="C260" s="8"/>
      <c r="D260" s="8"/>
      <c r="E260" s="9"/>
      <c r="F260" s="9"/>
    </row>
    <row r="261" spans="1:6" s="4" customFormat="1" ht="12.75" customHeight="1">
      <c r="A261" s="8"/>
      <c r="B261" s="8"/>
      <c r="C261" s="8"/>
      <c r="D261" s="8"/>
      <c r="E261" s="9"/>
      <c r="F261" s="9"/>
    </row>
    <row r="262" spans="1:6" s="4" customFormat="1" ht="12.75" customHeight="1">
      <c r="A262" s="8"/>
      <c r="B262" s="8"/>
      <c r="C262" s="8"/>
      <c r="D262" s="8"/>
      <c r="E262" s="9"/>
      <c r="F262" s="9"/>
    </row>
    <row r="263" spans="1:6" s="4" customFormat="1" ht="12.75" customHeight="1">
      <c r="A263" s="8"/>
      <c r="B263" s="8"/>
      <c r="C263" s="8"/>
      <c r="D263" s="8"/>
      <c r="E263" s="9"/>
      <c r="F263" s="9"/>
    </row>
    <row r="264" spans="1:6" s="4" customFormat="1" ht="12.75" customHeight="1">
      <c r="A264" s="8"/>
      <c r="B264" s="8"/>
      <c r="C264" s="8"/>
      <c r="D264" s="8"/>
      <c r="E264" s="9"/>
      <c r="F264" s="9"/>
    </row>
    <row r="265" spans="1:6" s="4" customFormat="1" ht="12.75" customHeight="1">
      <c r="A265" s="8"/>
      <c r="B265" s="8"/>
      <c r="C265" s="8"/>
      <c r="D265" s="8"/>
      <c r="E265" s="9"/>
      <c r="F265" s="9"/>
    </row>
    <row r="266" spans="1:6" s="4" customFormat="1" ht="12.75" customHeight="1">
      <c r="A266" s="8"/>
      <c r="B266" s="8"/>
      <c r="C266" s="8"/>
      <c r="D266" s="8"/>
      <c r="E266" s="9"/>
      <c r="F266" s="9"/>
    </row>
    <row r="267" spans="1:6" s="4" customFormat="1" ht="12.75" customHeight="1">
      <c r="A267" s="12"/>
      <c r="B267" s="12"/>
      <c r="C267" s="12"/>
      <c r="D267" s="8"/>
      <c r="E267" s="49"/>
      <c r="F267" s="49"/>
    </row>
    <row r="268" spans="1:6" s="4" customFormat="1" ht="12.75" customHeight="1">
      <c r="A268" s="8"/>
      <c r="B268" s="8"/>
      <c r="C268" s="8"/>
      <c r="D268" s="8"/>
      <c r="E268" s="9"/>
      <c r="F268" s="9"/>
    </row>
    <row r="269" spans="1:6" s="4" customFormat="1" ht="12.75" customHeight="1">
      <c r="A269" s="8"/>
      <c r="B269" s="8"/>
      <c r="C269" s="8"/>
      <c r="D269" s="12"/>
      <c r="E269" s="9"/>
      <c r="F269" s="9"/>
    </row>
    <row r="270" spans="1:6" s="4" customFormat="1" ht="12.75" customHeight="1">
      <c r="A270" s="8"/>
      <c r="B270" s="8"/>
      <c r="C270" s="8"/>
      <c r="D270" s="8"/>
      <c r="E270" s="9"/>
      <c r="F270" s="9"/>
    </row>
    <row r="271" spans="1:6" s="4" customFormat="1" ht="12.75" customHeight="1">
      <c r="A271" s="8"/>
      <c r="B271" s="8"/>
      <c r="C271" s="8"/>
      <c r="D271" s="8"/>
      <c r="E271" s="9"/>
      <c r="F271" s="9"/>
    </row>
    <row r="272" spans="1:6" s="4" customFormat="1" ht="12.75" customHeight="1">
      <c r="A272" s="8"/>
      <c r="B272" s="8"/>
      <c r="C272" s="8"/>
      <c r="D272" s="8"/>
      <c r="E272" s="9"/>
      <c r="F272" s="9"/>
    </row>
    <row r="273" spans="1:6" s="4" customFormat="1" ht="12.75" customHeight="1">
      <c r="A273" s="8"/>
      <c r="B273" s="8"/>
      <c r="C273" s="8"/>
      <c r="D273" s="8"/>
      <c r="E273" s="9"/>
      <c r="F273" s="9"/>
    </row>
    <row r="274" spans="1:6" s="4" customFormat="1" ht="12.75" customHeight="1">
      <c r="A274" s="8"/>
      <c r="B274" s="8"/>
      <c r="C274" s="8"/>
      <c r="D274" s="8"/>
      <c r="E274" s="9"/>
      <c r="F274" s="9"/>
    </row>
    <row r="275" spans="1:6" s="4" customFormat="1" ht="12.75" customHeight="1">
      <c r="A275" s="8"/>
      <c r="B275" s="8"/>
      <c r="C275" s="8"/>
      <c r="D275" s="8"/>
      <c r="E275" s="9"/>
      <c r="F275" s="9"/>
    </row>
    <row r="276" spans="1:6" s="4" customFormat="1" ht="12.75" customHeight="1">
      <c r="A276" s="8"/>
      <c r="B276" s="8"/>
      <c r="C276" s="8"/>
      <c r="D276" s="8"/>
      <c r="E276" s="9"/>
      <c r="F276" s="9"/>
    </row>
    <row r="277" spans="1:6" s="4" customFormat="1" ht="12.75" customHeight="1">
      <c r="A277" s="8"/>
      <c r="B277" s="8"/>
      <c r="C277" s="8"/>
      <c r="D277" s="8"/>
      <c r="E277" s="9"/>
      <c r="F277" s="9"/>
    </row>
    <row r="278" spans="1:6" s="4" customFormat="1" ht="12.75" customHeight="1">
      <c r="A278" s="8"/>
      <c r="B278" s="8"/>
      <c r="C278" s="8"/>
      <c r="D278" s="8"/>
      <c r="E278" s="9"/>
      <c r="F278" s="9"/>
    </row>
    <row r="279" spans="1:6" s="4" customFormat="1" ht="12.75" customHeight="1">
      <c r="A279" s="8"/>
      <c r="B279" s="8"/>
      <c r="C279" s="8"/>
      <c r="D279" s="8"/>
      <c r="E279" s="9"/>
      <c r="F279" s="9"/>
    </row>
    <row r="280" spans="1:6" s="4" customFormat="1" ht="12.75" customHeight="1">
      <c r="A280" s="8"/>
      <c r="B280" s="8"/>
      <c r="C280" s="8"/>
      <c r="D280" s="8"/>
      <c r="E280" s="9"/>
      <c r="F280" s="9"/>
    </row>
    <row r="281" spans="1:6" s="4" customFormat="1" ht="12.75" customHeight="1">
      <c r="A281" s="8"/>
      <c r="B281" s="8"/>
      <c r="C281" s="8"/>
      <c r="D281" s="8"/>
      <c r="E281" s="9"/>
      <c r="F281" s="9"/>
    </row>
    <row r="282" spans="1:6" s="4" customFormat="1" ht="12.75" customHeight="1">
      <c r="A282" s="8"/>
      <c r="B282" s="8"/>
      <c r="C282" s="8"/>
      <c r="D282" s="8"/>
      <c r="E282" s="9"/>
      <c r="F282" s="9"/>
    </row>
    <row r="283" spans="1:6" s="4" customFormat="1" ht="12.75" customHeight="1">
      <c r="A283" s="8"/>
      <c r="B283" s="8"/>
      <c r="C283" s="8"/>
      <c r="D283" s="8"/>
      <c r="E283" s="9"/>
      <c r="F283" s="9"/>
    </row>
    <row r="284" spans="1:6" s="4" customFormat="1" ht="12.75" customHeight="1">
      <c r="A284" s="8"/>
      <c r="B284" s="8"/>
      <c r="C284" s="8"/>
      <c r="D284" s="8"/>
      <c r="E284" s="9"/>
      <c r="F284" s="9"/>
    </row>
    <row r="285" spans="1:6" s="4" customFormat="1" ht="12.75" customHeight="1">
      <c r="A285" s="8"/>
      <c r="B285" s="8"/>
      <c r="C285" s="8"/>
      <c r="D285" s="8"/>
      <c r="E285" s="9"/>
      <c r="F285" s="9"/>
    </row>
    <row r="286" spans="1:6" s="4" customFormat="1" ht="15">
      <c r="D286" s="8"/>
      <c r="E286" s="48"/>
      <c r="F286" s="48"/>
    </row>
    <row r="287" spans="1:6" s="4" customFormat="1" ht="15">
      <c r="D287" s="8"/>
      <c r="E287" s="48"/>
      <c r="F287" s="48"/>
    </row>
    <row r="288" spans="1:6" s="4" customFormat="1" ht="15">
      <c r="E288" s="48"/>
      <c r="F288" s="48"/>
    </row>
    <row r="289" spans="5:6" s="4" customFormat="1" ht="15">
      <c r="E289" s="48"/>
      <c r="F289" s="48"/>
    </row>
    <row r="290" spans="5:6" s="4" customFormat="1" ht="15">
      <c r="E290" s="48"/>
      <c r="F290" s="48"/>
    </row>
    <row r="291" spans="5:6" s="4" customFormat="1" ht="15">
      <c r="E291" s="48"/>
      <c r="F291" s="48"/>
    </row>
    <row r="292" spans="5:6" s="4" customFormat="1" ht="15">
      <c r="E292" s="48"/>
      <c r="F292" s="48"/>
    </row>
    <row r="293" spans="5:6" s="4" customFormat="1" ht="15">
      <c r="E293" s="48"/>
      <c r="F293" s="48"/>
    </row>
    <row r="294" spans="5:6" s="4" customFormat="1" ht="15">
      <c r="E294" s="48"/>
      <c r="F294" s="48"/>
    </row>
    <row r="295" spans="5:6" s="4" customFormat="1" ht="15">
      <c r="E295" s="48"/>
      <c r="F295" s="48"/>
    </row>
    <row r="296" spans="5:6" s="4" customFormat="1" ht="15">
      <c r="E296" s="48"/>
      <c r="F296" s="48"/>
    </row>
    <row r="297" spans="5:6" s="4" customFormat="1" ht="15">
      <c r="E297" s="48"/>
      <c r="F297" s="48"/>
    </row>
    <row r="298" spans="5:6" s="4" customFormat="1" ht="15">
      <c r="E298" s="48"/>
      <c r="F298" s="48"/>
    </row>
    <row r="299" spans="5:6" s="4" customFormat="1" ht="15">
      <c r="E299" s="48"/>
      <c r="F299" s="48"/>
    </row>
    <row r="300" spans="5:6" s="4" customFormat="1" ht="15">
      <c r="E300" s="48"/>
      <c r="F300" s="48"/>
    </row>
    <row r="301" spans="5:6" s="4" customFormat="1" ht="15">
      <c r="E301" s="48"/>
      <c r="F301" s="48"/>
    </row>
    <row r="302" spans="5:6" s="4" customFormat="1" ht="15">
      <c r="E302" s="48"/>
      <c r="F302" s="48"/>
    </row>
    <row r="303" spans="5:6" s="4" customFormat="1" ht="15">
      <c r="E303" s="48"/>
      <c r="F303" s="48"/>
    </row>
    <row r="304" spans="5:6" s="4" customFormat="1" ht="15">
      <c r="E304" s="48"/>
      <c r="F304" s="48"/>
    </row>
    <row r="305" spans="5:6" s="4" customFormat="1" ht="15">
      <c r="E305" s="48"/>
      <c r="F305" s="48"/>
    </row>
    <row r="306" spans="5:6" s="4" customFormat="1" ht="15">
      <c r="E306" s="48"/>
      <c r="F306" s="48"/>
    </row>
    <row r="307" spans="5:6" s="4" customFormat="1" ht="15">
      <c r="E307" s="48"/>
      <c r="F307" s="48"/>
    </row>
    <row r="308" spans="5:6" s="4" customFormat="1" ht="15">
      <c r="E308" s="48"/>
      <c r="F308" s="48"/>
    </row>
    <row r="309" spans="5:6" s="4" customFormat="1" ht="15">
      <c r="E309" s="48"/>
      <c r="F309" s="48"/>
    </row>
    <row r="310" spans="5:6" s="4" customFormat="1" ht="15">
      <c r="E310" s="48"/>
      <c r="F310" s="48"/>
    </row>
    <row r="311" spans="5:6" s="4" customFormat="1" ht="15">
      <c r="E311" s="48"/>
      <c r="F311" s="48"/>
    </row>
    <row r="312" spans="5:6" s="4" customFormat="1" ht="15">
      <c r="E312" s="48"/>
      <c r="F312" s="48"/>
    </row>
    <row r="313" spans="5:6" s="4" customFormat="1" ht="15">
      <c r="E313" s="48"/>
      <c r="F313" s="48"/>
    </row>
    <row r="314" spans="5:6" s="4" customFormat="1" ht="15">
      <c r="E314" s="48"/>
      <c r="F314" s="48"/>
    </row>
    <row r="315" spans="5:6" s="4" customFormat="1" ht="15">
      <c r="E315" s="48"/>
      <c r="F315" s="48"/>
    </row>
    <row r="316" spans="5:6" s="4" customFormat="1" ht="15">
      <c r="E316" s="48"/>
      <c r="F316" s="48"/>
    </row>
    <row r="317" spans="5:6" s="4" customFormat="1" ht="15">
      <c r="E317" s="48"/>
      <c r="F317" s="48"/>
    </row>
    <row r="318" spans="5:6" s="4" customFormat="1" ht="15">
      <c r="E318" s="48"/>
      <c r="F318" s="48"/>
    </row>
    <row r="319" spans="5:6" s="4" customFormat="1" ht="15">
      <c r="E319" s="48"/>
      <c r="F319" s="48"/>
    </row>
    <row r="320" spans="5:6" s="4" customFormat="1" ht="15">
      <c r="E320" s="48"/>
      <c r="F320" s="48"/>
    </row>
    <row r="321" spans="5:6" s="4" customFormat="1" ht="15">
      <c r="E321" s="48"/>
      <c r="F321" s="48"/>
    </row>
    <row r="322" spans="5:6" s="4" customFormat="1" ht="15">
      <c r="E322" s="48"/>
      <c r="F322" s="48"/>
    </row>
    <row r="323" spans="5:6" s="4" customFormat="1" ht="15">
      <c r="E323" s="48"/>
      <c r="F323" s="48"/>
    </row>
    <row r="324" spans="5:6" s="4" customFormat="1" ht="15">
      <c r="E324" s="48"/>
      <c r="F324" s="48"/>
    </row>
    <row r="325" spans="5:6" s="4" customFormat="1" ht="15">
      <c r="E325" s="48"/>
      <c r="F325" s="48"/>
    </row>
    <row r="326" spans="5:6" s="4" customFormat="1" ht="15">
      <c r="E326" s="48"/>
      <c r="F326" s="48"/>
    </row>
    <row r="327" spans="5:6" s="4" customFormat="1" ht="15">
      <c r="E327" s="48"/>
      <c r="F327" s="48"/>
    </row>
    <row r="328" spans="5:6" s="4" customFormat="1" ht="15">
      <c r="E328" s="48"/>
      <c r="F328" s="48"/>
    </row>
    <row r="329" spans="5:6" s="4" customFormat="1" ht="15">
      <c r="E329" s="48"/>
      <c r="F329" s="48"/>
    </row>
    <row r="330" spans="5:6" s="4" customFormat="1" ht="15">
      <c r="E330" s="48"/>
      <c r="F330" s="48"/>
    </row>
    <row r="331" spans="5:6" s="4" customFormat="1" ht="15">
      <c r="E331" s="48"/>
      <c r="F331" s="48"/>
    </row>
    <row r="332" spans="5:6" s="4" customFormat="1" ht="15">
      <c r="E332" s="48"/>
      <c r="F332" s="48"/>
    </row>
    <row r="333" spans="5:6" s="4" customFormat="1" ht="15">
      <c r="E333" s="48"/>
      <c r="F333" s="48"/>
    </row>
    <row r="334" spans="5:6" s="4" customFormat="1" ht="15">
      <c r="E334" s="48"/>
      <c r="F334" s="48"/>
    </row>
    <row r="335" spans="5:6" s="4" customFormat="1" ht="15">
      <c r="E335" s="48"/>
      <c r="F335" s="48"/>
    </row>
    <row r="336" spans="5:6" s="4" customFormat="1" ht="15">
      <c r="E336" s="48"/>
      <c r="F336" s="48"/>
    </row>
    <row r="337" spans="5:6" s="4" customFormat="1" ht="15">
      <c r="E337" s="48"/>
      <c r="F337" s="48"/>
    </row>
    <row r="338" spans="5:6" s="4" customFormat="1" ht="15">
      <c r="E338" s="48"/>
      <c r="F338" s="48"/>
    </row>
    <row r="339" spans="5:6" s="4" customFormat="1" ht="15">
      <c r="E339" s="48"/>
      <c r="F339" s="48"/>
    </row>
    <row r="340" spans="5:6" s="4" customFormat="1" ht="15">
      <c r="E340" s="48"/>
      <c r="F340" s="48"/>
    </row>
    <row r="341" spans="5:6" s="4" customFormat="1" ht="15">
      <c r="E341" s="48"/>
      <c r="F341" s="48"/>
    </row>
    <row r="342" spans="5:6" s="4" customFormat="1" ht="15">
      <c r="E342" s="48"/>
      <c r="F342" s="48"/>
    </row>
    <row r="343" spans="5:6" s="4" customFormat="1" ht="15">
      <c r="E343" s="48"/>
      <c r="F343" s="48"/>
    </row>
    <row r="344" spans="5:6" s="4" customFormat="1" ht="15">
      <c r="E344" s="48"/>
      <c r="F344" s="48"/>
    </row>
    <row r="345" spans="5:6" s="4" customFormat="1" ht="15">
      <c r="E345" s="48"/>
      <c r="F345" s="48"/>
    </row>
    <row r="346" spans="5:6" s="4" customFormat="1" ht="15">
      <c r="E346" s="48"/>
      <c r="F346" s="48"/>
    </row>
    <row r="347" spans="5:6" s="4" customFormat="1" ht="15">
      <c r="E347" s="48"/>
      <c r="F347" s="48"/>
    </row>
    <row r="348" spans="5:6" s="4" customFormat="1" ht="15">
      <c r="E348" s="48"/>
      <c r="F348" s="48"/>
    </row>
    <row r="349" spans="5:6" s="4" customFormat="1" ht="15">
      <c r="E349" s="48"/>
      <c r="F349" s="48"/>
    </row>
    <row r="350" spans="5:6" s="4" customFormat="1" ht="15">
      <c r="E350" s="48"/>
      <c r="F350" s="48"/>
    </row>
    <row r="351" spans="5:6" s="4" customFormat="1" ht="15">
      <c r="E351" s="48"/>
      <c r="F351" s="48"/>
    </row>
    <row r="352" spans="5:6" s="4" customFormat="1" ht="15">
      <c r="E352" s="48"/>
      <c r="F352" s="48"/>
    </row>
    <row r="353" spans="5:6" s="4" customFormat="1" ht="15">
      <c r="E353" s="48"/>
      <c r="F353" s="48"/>
    </row>
    <row r="354" spans="5:6" s="4" customFormat="1" ht="15">
      <c r="E354" s="48"/>
      <c r="F354" s="48"/>
    </row>
    <row r="355" spans="5:6" s="4" customFormat="1" ht="15">
      <c r="E355" s="48"/>
      <c r="F355" s="48"/>
    </row>
    <row r="356" spans="5:6" s="4" customFormat="1" ht="15">
      <c r="E356" s="48"/>
      <c r="F356" s="48"/>
    </row>
    <row r="357" spans="5:6" s="4" customFormat="1" ht="15">
      <c r="E357" s="48"/>
      <c r="F357" s="48"/>
    </row>
    <row r="358" spans="5:6" s="4" customFormat="1" ht="15">
      <c r="E358" s="48"/>
      <c r="F358" s="48"/>
    </row>
    <row r="359" spans="5:6" s="4" customFormat="1" ht="15">
      <c r="E359" s="48"/>
      <c r="F359" s="48"/>
    </row>
    <row r="360" spans="5:6" s="4" customFormat="1" ht="15">
      <c r="E360" s="48"/>
      <c r="F360" s="48"/>
    </row>
    <row r="361" spans="5:6" s="4" customFormat="1" ht="15">
      <c r="E361" s="48"/>
      <c r="F361" s="48"/>
    </row>
    <row r="362" spans="5:6" s="4" customFormat="1" ht="15">
      <c r="E362" s="48"/>
      <c r="F362" s="48"/>
    </row>
    <row r="363" spans="5:6" s="4" customFormat="1" ht="15">
      <c r="E363" s="48"/>
      <c r="F363" s="48"/>
    </row>
    <row r="364" spans="5:6" s="4" customFormat="1" ht="15">
      <c r="E364" s="48"/>
      <c r="F364" s="48"/>
    </row>
    <row r="365" spans="5:6" s="4" customFormat="1" ht="15">
      <c r="E365" s="48"/>
      <c r="F365" s="48"/>
    </row>
    <row r="366" spans="5:6" s="4" customFormat="1" ht="15">
      <c r="E366" s="48"/>
      <c r="F366" s="48"/>
    </row>
    <row r="367" spans="5:6" s="4" customFormat="1" ht="15">
      <c r="F367" s="48"/>
    </row>
    <row r="368" spans="5:6" s="4" customFormat="1" ht="15">
      <c r="F368" s="48"/>
    </row>
    <row r="369" spans="6:6" s="4" customFormat="1" ht="15">
      <c r="F369" s="48"/>
    </row>
    <row r="370" spans="6:6" s="4" customFormat="1" ht="15">
      <c r="F370" s="48"/>
    </row>
    <row r="371" spans="6:6" s="4" customFormat="1" ht="15">
      <c r="F371" s="48"/>
    </row>
    <row r="372" spans="6:6" s="4" customFormat="1" ht="15">
      <c r="F372" s="48"/>
    </row>
    <row r="373" spans="6:6" s="4" customFormat="1" ht="15">
      <c r="F373" s="48"/>
    </row>
    <row r="374" spans="6:6" s="4" customFormat="1" ht="15">
      <c r="F374" s="48"/>
    </row>
    <row r="375" spans="6:6" s="4" customFormat="1" ht="15">
      <c r="F375" s="48"/>
    </row>
    <row r="376" spans="6:6" s="4" customFormat="1" ht="15">
      <c r="F376" s="48"/>
    </row>
    <row r="377" spans="6:6" s="4" customFormat="1" ht="15">
      <c r="F377" s="48"/>
    </row>
    <row r="378" spans="6:6" s="4" customFormat="1" ht="15">
      <c r="F378" s="48"/>
    </row>
    <row r="379" spans="6:6" s="4" customFormat="1" ht="15">
      <c r="F379" s="48"/>
    </row>
    <row r="380" spans="6:6" s="4" customFormat="1" ht="15">
      <c r="F380" s="48"/>
    </row>
    <row r="381" spans="6:6" s="4" customFormat="1" ht="15">
      <c r="F381" s="48"/>
    </row>
    <row r="382" spans="6:6" s="4" customFormat="1" ht="15">
      <c r="F382" s="48"/>
    </row>
    <row r="383" spans="6:6" s="4" customFormat="1" ht="15">
      <c r="F383" s="48"/>
    </row>
    <row r="384" spans="6:6" s="4" customFormat="1" ht="15">
      <c r="F384" s="48"/>
    </row>
    <row r="385" spans="6:6" s="4" customFormat="1" ht="15">
      <c r="F385" s="48"/>
    </row>
    <row r="386" spans="6:6" s="4" customFormat="1" ht="15">
      <c r="F386" s="48"/>
    </row>
    <row r="387" spans="6:6" s="4" customFormat="1" ht="15">
      <c r="F387" s="48"/>
    </row>
    <row r="388" spans="6:6" s="4" customFormat="1" ht="15">
      <c r="F388" s="48"/>
    </row>
    <row r="389" spans="6:6" s="4" customFormat="1" ht="15">
      <c r="F389" s="48"/>
    </row>
    <row r="390" spans="6:6" s="4" customFormat="1" ht="15">
      <c r="F390" s="48"/>
    </row>
    <row r="391" spans="6:6" s="4" customFormat="1" ht="15">
      <c r="F391" s="48"/>
    </row>
    <row r="392" spans="6:6" s="4" customFormat="1" ht="15">
      <c r="F392" s="48"/>
    </row>
    <row r="393" spans="6:6" s="4" customFormat="1" ht="15">
      <c r="F393" s="48"/>
    </row>
    <row r="394" spans="6:6" s="4" customFormat="1" ht="15">
      <c r="F394" s="48"/>
    </row>
    <row r="395" spans="6:6" s="4" customFormat="1" ht="15">
      <c r="F395" s="48"/>
    </row>
    <row r="396" spans="6:6" s="4" customFormat="1" ht="15">
      <c r="F396" s="48"/>
    </row>
    <row r="397" spans="6:6" s="4" customFormat="1" ht="15">
      <c r="F397" s="48"/>
    </row>
    <row r="398" spans="6:6" s="4" customFormat="1" ht="15">
      <c r="F398" s="48"/>
    </row>
    <row r="399" spans="6:6" s="4" customFormat="1" ht="15">
      <c r="F399" s="48"/>
    </row>
    <row r="400" spans="6:6" s="4" customFormat="1" ht="15">
      <c r="F400" s="48"/>
    </row>
    <row r="401" spans="6:6" s="4" customFormat="1" ht="15">
      <c r="F401" s="48"/>
    </row>
    <row r="402" spans="6:6" s="4" customFormat="1" ht="15">
      <c r="F402" s="48"/>
    </row>
    <row r="403" spans="6:6" s="4" customFormat="1" ht="15">
      <c r="F403" s="48"/>
    </row>
    <row r="404" spans="6:6" s="4" customFormat="1" ht="15">
      <c r="F404" s="48"/>
    </row>
    <row r="405" spans="6:6" s="4" customFormat="1" ht="15">
      <c r="F405" s="48"/>
    </row>
    <row r="406" spans="6:6" s="4" customFormat="1" ht="15">
      <c r="F406" s="48"/>
    </row>
    <row r="407" spans="6:6" s="4" customFormat="1" ht="15">
      <c r="F407" s="48"/>
    </row>
    <row r="408" spans="6:6" s="4" customFormat="1" ht="15">
      <c r="F408" s="48"/>
    </row>
    <row r="409" spans="6:6" s="4" customFormat="1" ht="15">
      <c r="F409" s="48"/>
    </row>
    <row r="410" spans="6:6" s="4" customFormat="1" ht="15">
      <c r="F410" s="48"/>
    </row>
    <row r="411" spans="6:6" s="4" customFormat="1" ht="15">
      <c r="F411" s="48"/>
    </row>
    <row r="412" spans="6:6" s="4" customFormat="1" ht="15">
      <c r="F412" s="48"/>
    </row>
    <row r="413" spans="6:6" s="4" customFormat="1" ht="15">
      <c r="F413" s="48"/>
    </row>
    <row r="414" spans="6:6" s="4" customFormat="1" ht="15">
      <c r="F414" s="48"/>
    </row>
    <row r="415" spans="6:6" s="4" customFormat="1" ht="15">
      <c r="F415" s="48"/>
    </row>
    <row r="416" spans="6:6" s="4" customFormat="1" ht="15">
      <c r="F416" s="48"/>
    </row>
    <row r="417" spans="6:6" s="4" customFormat="1" ht="15">
      <c r="F417" s="48"/>
    </row>
    <row r="418" spans="6:6" s="4" customFormat="1" ht="15">
      <c r="F418" s="48"/>
    </row>
    <row r="419" spans="6:6" s="4" customFormat="1" ht="15">
      <c r="F419" s="48"/>
    </row>
    <row r="420" spans="6:6" s="4" customFormat="1" ht="15">
      <c r="F420" s="48"/>
    </row>
    <row r="421" spans="6:6" s="4" customFormat="1" ht="15">
      <c r="F421" s="48"/>
    </row>
    <row r="422" spans="6:6" s="4" customFormat="1" ht="15">
      <c r="F422" s="48"/>
    </row>
    <row r="423" spans="6:6" s="4" customFormat="1" ht="15">
      <c r="F423" s="48"/>
    </row>
    <row r="424" spans="6:6" s="4" customFormat="1" ht="15">
      <c r="F424" s="48"/>
    </row>
    <row r="425" spans="6:6" s="4" customFormat="1" ht="15">
      <c r="F425" s="48"/>
    </row>
    <row r="426" spans="6:6" s="4" customFormat="1" ht="15">
      <c r="F426" s="48"/>
    </row>
    <row r="427" spans="6:6" s="4" customFormat="1" ht="15">
      <c r="F427" s="48"/>
    </row>
    <row r="428" spans="6:6" s="4" customFormat="1" ht="15">
      <c r="F428" s="48"/>
    </row>
    <row r="429" spans="6:6" s="4" customFormat="1" ht="15">
      <c r="F429" s="48"/>
    </row>
    <row r="430" spans="6:6" s="4" customFormat="1" ht="15">
      <c r="F430" s="48"/>
    </row>
    <row r="431" spans="6:6" s="4" customFormat="1" ht="15">
      <c r="F431" s="48"/>
    </row>
    <row r="432" spans="6:6" s="4" customFormat="1" ht="15">
      <c r="F432" s="48"/>
    </row>
    <row r="433" spans="6:6" s="4" customFormat="1" ht="15">
      <c r="F433" s="48"/>
    </row>
    <row r="434" spans="6:6" s="4" customFormat="1" ht="15">
      <c r="F434" s="48"/>
    </row>
    <row r="435" spans="6:6" s="4" customFormat="1" ht="15">
      <c r="F435" s="48"/>
    </row>
    <row r="436" spans="6:6" s="4" customFormat="1" ht="15">
      <c r="F436" s="48"/>
    </row>
    <row r="437" spans="6:6" s="4" customFormat="1" ht="15">
      <c r="F437" s="48"/>
    </row>
    <row r="438" spans="6:6" s="4" customFormat="1" ht="15">
      <c r="F438" s="48"/>
    </row>
    <row r="439" spans="6:6" s="4" customFormat="1" ht="15">
      <c r="F439" s="48"/>
    </row>
    <row r="440" spans="6:6" s="4" customFormat="1" ht="15">
      <c r="F440" s="48"/>
    </row>
    <row r="441" spans="6:6" s="4" customFormat="1" ht="15">
      <c r="F441" s="48"/>
    </row>
    <row r="442" spans="6:6" s="4" customFormat="1" ht="15">
      <c r="F442" s="48"/>
    </row>
    <row r="443" spans="6:6" s="4" customFormat="1" ht="15">
      <c r="F443" s="48"/>
    </row>
    <row r="444" spans="6:6" s="4" customFormat="1" ht="15">
      <c r="F444" s="48"/>
    </row>
    <row r="445" spans="6:6" s="4" customFormat="1" ht="15">
      <c r="F445" s="48"/>
    </row>
    <row r="446" spans="6:6" s="4" customFormat="1" ht="15">
      <c r="F446" s="48"/>
    </row>
    <row r="447" spans="6:6" s="4" customFormat="1" ht="15">
      <c r="F447" s="48"/>
    </row>
    <row r="448" spans="6:6" s="4" customFormat="1" ht="15">
      <c r="F448" s="48"/>
    </row>
    <row r="449" spans="6:6" s="4" customFormat="1" ht="15">
      <c r="F449" s="48"/>
    </row>
    <row r="450" spans="6:6" s="4" customFormat="1" ht="15">
      <c r="F450" s="48"/>
    </row>
    <row r="451" spans="6:6" s="4" customFormat="1" ht="15">
      <c r="F451" s="48"/>
    </row>
    <row r="452" spans="6:6" s="4" customFormat="1" ht="15">
      <c r="F452" s="48"/>
    </row>
    <row r="453" spans="6:6" s="4" customFormat="1" ht="15">
      <c r="F453" s="48"/>
    </row>
    <row r="454" spans="6:6" s="4" customFormat="1" ht="15">
      <c r="F454" s="48"/>
    </row>
    <row r="455" spans="6:6" s="4" customFormat="1" ht="15">
      <c r="F455" s="48"/>
    </row>
    <row r="456" spans="6:6" s="4" customFormat="1" ht="15">
      <c r="F456" s="48"/>
    </row>
    <row r="457" spans="6:6" s="4" customFormat="1" ht="15">
      <c r="F457" s="48"/>
    </row>
    <row r="458" spans="6:6" s="4" customFormat="1" ht="15">
      <c r="F458" s="48"/>
    </row>
    <row r="459" spans="6:6" s="4" customFormat="1" ht="15">
      <c r="F459" s="48"/>
    </row>
    <row r="460" spans="6:6" s="4" customFormat="1" ht="15">
      <c r="F460" s="48"/>
    </row>
    <row r="461" spans="6:6" s="4" customFormat="1" ht="15">
      <c r="F461" s="48"/>
    </row>
    <row r="462" spans="6:6" s="4" customFormat="1" ht="15">
      <c r="F462" s="48"/>
    </row>
    <row r="463" spans="6:6" s="4" customFormat="1" ht="15">
      <c r="F463" s="48"/>
    </row>
    <row r="464" spans="6:6" s="4" customFormat="1" ht="15">
      <c r="F464" s="48"/>
    </row>
    <row r="465" spans="6:6" s="4" customFormat="1" ht="15">
      <c r="F465" s="48"/>
    </row>
    <row r="466" spans="6:6" s="4" customFormat="1" ht="15">
      <c r="F466" s="48"/>
    </row>
    <row r="467" spans="6:6" s="4" customFormat="1" ht="15">
      <c r="F467" s="48"/>
    </row>
    <row r="468" spans="6:6" s="4" customFormat="1" ht="15">
      <c r="F468" s="48"/>
    </row>
    <row r="469" spans="6:6" s="4" customFormat="1" ht="15">
      <c r="F469" s="48"/>
    </row>
    <row r="470" spans="6:6" s="4" customFormat="1" ht="15">
      <c r="F470" s="48"/>
    </row>
    <row r="471" spans="6:6" s="4" customFormat="1" ht="15">
      <c r="F471" s="48"/>
    </row>
    <row r="472" spans="6:6" s="4" customFormat="1" ht="15">
      <c r="F472" s="48"/>
    </row>
    <row r="473" spans="6:6" s="4" customFormat="1" ht="15">
      <c r="F473" s="48"/>
    </row>
    <row r="474" spans="6:6" s="4" customFormat="1" ht="15">
      <c r="F474" s="48"/>
    </row>
    <row r="475" spans="6:6" s="4" customFormat="1" ht="15">
      <c r="F475" s="48"/>
    </row>
    <row r="476" spans="6:6" s="4" customFormat="1" ht="15">
      <c r="F476" s="48"/>
    </row>
    <row r="477" spans="6:6" s="4" customFormat="1" ht="15">
      <c r="F477" s="48"/>
    </row>
    <row r="478" spans="6:6" s="4" customFormat="1" ht="15">
      <c r="F478" s="48"/>
    </row>
    <row r="479" spans="6:6" s="4" customFormat="1" ht="15">
      <c r="F479" s="48"/>
    </row>
    <row r="480" spans="6:6" s="4" customFormat="1" ht="15">
      <c r="F480" s="48"/>
    </row>
    <row r="481" spans="6:6" s="4" customFormat="1" ht="15">
      <c r="F481" s="48"/>
    </row>
    <row r="482" spans="6:6" s="4" customFormat="1" ht="15">
      <c r="F482" s="48"/>
    </row>
    <row r="483" spans="6:6" s="4" customFormat="1" ht="15">
      <c r="F483" s="48"/>
    </row>
    <row r="484" spans="6:6" s="4" customFormat="1" ht="15">
      <c r="F484" s="48"/>
    </row>
    <row r="485" spans="6:6" s="4" customFormat="1" ht="15">
      <c r="F485" s="48"/>
    </row>
    <row r="486" spans="6:6" s="4" customFormat="1" ht="15">
      <c r="F486" s="48"/>
    </row>
    <row r="487" spans="6:6" s="4" customFormat="1" ht="15">
      <c r="F487" s="48"/>
    </row>
    <row r="488" spans="6:6" s="4" customFormat="1" ht="15">
      <c r="F488" s="48"/>
    </row>
    <row r="489" spans="6:6" s="4" customFormat="1" ht="15">
      <c r="F489" s="48"/>
    </row>
    <row r="490" spans="6:6" s="4" customFormat="1" ht="15">
      <c r="F490" s="48"/>
    </row>
    <row r="491" spans="6:6" s="4" customFormat="1" ht="15">
      <c r="F491" s="48"/>
    </row>
    <row r="492" spans="6:6" s="4" customFormat="1" ht="15">
      <c r="F492" s="48"/>
    </row>
    <row r="493" spans="6:6" s="4" customFormat="1" ht="15">
      <c r="F493" s="48"/>
    </row>
    <row r="494" spans="6:6" s="4" customFormat="1" ht="15">
      <c r="F494" s="48"/>
    </row>
    <row r="495" spans="6:6" s="4" customFormat="1" ht="15">
      <c r="F495" s="48"/>
    </row>
    <row r="496" spans="6:6" s="4" customFormat="1" ht="15">
      <c r="F496" s="48"/>
    </row>
    <row r="497" spans="6:6" s="4" customFormat="1" ht="15">
      <c r="F497" s="48"/>
    </row>
    <row r="498" spans="6:6" s="4" customFormat="1" ht="15">
      <c r="F498" s="48"/>
    </row>
    <row r="499" spans="6:6" s="4" customFormat="1" ht="15">
      <c r="F499" s="48"/>
    </row>
    <row r="500" spans="6:6" s="4" customFormat="1" ht="15">
      <c r="F500" s="48"/>
    </row>
    <row r="501" spans="6:6" s="4" customFormat="1" ht="15">
      <c r="F501" s="48"/>
    </row>
    <row r="502" spans="6:6" s="4" customFormat="1" ht="15">
      <c r="F502" s="48"/>
    </row>
    <row r="503" spans="6:6" s="4" customFormat="1" ht="15">
      <c r="F503" s="48"/>
    </row>
    <row r="504" spans="6:6" s="4" customFormat="1" ht="15">
      <c r="F504" s="48"/>
    </row>
    <row r="505" spans="6:6" s="4" customFormat="1" ht="15">
      <c r="F505" s="48"/>
    </row>
    <row r="506" spans="6:6" s="4" customFormat="1" ht="15">
      <c r="F506" s="48"/>
    </row>
    <row r="507" spans="6:6" s="4" customFormat="1" ht="15">
      <c r="F507" s="48"/>
    </row>
    <row r="508" spans="6:6" s="4" customFormat="1" ht="15">
      <c r="F508" s="48"/>
    </row>
    <row r="509" spans="6:6" s="4" customFormat="1" ht="15">
      <c r="F509" s="48"/>
    </row>
    <row r="510" spans="6:6" s="4" customFormat="1" ht="15">
      <c r="F510" s="48"/>
    </row>
    <row r="511" spans="6:6" s="4" customFormat="1" ht="15">
      <c r="F511" s="48"/>
    </row>
    <row r="512" spans="6:6" s="4" customFormat="1" ht="15">
      <c r="F512" s="48"/>
    </row>
    <row r="513" spans="6:6" s="4" customFormat="1" ht="15">
      <c r="F513" s="48"/>
    </row>
    <row r="514" spans="6:6" s="4" customFormat="1" ht="15">
      <c r="F514" s="48"/>
    </row>
    <row r="515" spans="6:6" s="4" customFormat="1" ht="15">
      <c r="F515" s="48"/>
    </row>
    <row r="516" spans="6:6" s="4" customFormat="1" ht="15">
      <c r="F516" s="48"/>
    </row>
    <row r="517" spans="6:6" s="4" customFormat="1" ht="15">
      <c r="F517" s="48"/>
    </row>
    <row r="518" spans="6:6" s="4" customFormat="1" ht="15">
      <c r="F518" s="48"/>
    </row>
    <row r="519" spans="6:6" s="4" customFormat="1" ht="15">
      <c r="F519" s="48"/>
    </row>
    <row r="520" spans="6:6" s="4" customFormat="1" ht="15">
      <c r="F520" s="48"/>
    </row>
    <row r="521" spans="6:6" s="4" customFormat="1" ht="15">
      <c r="F521" s="48"/>
    </row>
    <row r="522" spans="6:6" s="4" customFormat="1" ht="15">
      <c r="F522" s="48"/>
    </row>
    <row r="523" spans="6:6" s="4" customFormat="1" ht="15">
      <c r="F523" s="48"/>
    </row>
    <row r="524" spans="6:6" s="4" customFormat="1" ht="15">
      <c r="F524" s="48"/>
    </row>
    <row r="525" spans="6:6" s="4" customFormat="1" ht="15">
      <c r="F525" s="48"/>
    </row>
    <row r="526" spans="6:6" s="4" customFormat="1" ht="15">
      <c r="F526" s="48"/>
    </row>
    <row r="527" spans="6:6" s="4" customFormat="1" ht="15">
      <c r="F527" s="48"/>
    </row>
    <row r="528" spans="6:6" s="4" customFormat="1" ht="15">
      <c r="F528" s="48"/>
    </row>
    <row r="529" spans="6:6" s="4" customFormat="1" ht="15">
      <c r="F529" s="48"/>
    </row>
    <row r="530" spans="6:6" s="4" customFormat="1" ht="15">
      <c r="F530" s="48"/>
    </row>
    <row r="531" spans="6:6" s="4" customFormat="1" ht="15">
      <c r="F531" s="48"/>
    </row>
    <row r="532" spans="6:6" s="4" customFormat="1" ht="15">
      <c r="F532" s="48"/>
    </row>
    <row r="533" spans="6:6" s="4" customFormat="1" ht="15">
      <c r="F533" s="48"/>
    </row>
    <row r="534" spans="6:6" s="4" customFormat="1" ht="15">
      <c r="F534" s="48"/>
    </row>
    <row r="535" spans="6:6" s="4" customFormat="1" ht="15">
      <c r="F535" s="48"/>
    </row>
    <row r="536" spans="6:6" s="4" customFormat="1" ht="15">
      <c r="F536" s="48"/>
    </row>
    <row r="537" spans="6:6" s="4" customFormat="1" ht="15">
      <c r="F537" s="48"/>
    </row>
    <row r="538" spans="6:6" s="4" customFormat="1" ht="15">
      <c r="F538" s="48"/>
    </row>
    <row r="539" spans="6:6" s="4" customFormat="1" ht="15">
      <c r="F539" s="48"/>
    </row>
    <row r="540" spans="6:6" s="4" customFormat="1" ht="15">
      <c r="F540" s="48"/>
    </row>
    <row r="541" spans="6:6" s="4" customFormat="1" ht="15">
      <c r="F541" s="48"/>
    </row>
    <row r="542" spans="6:6" s="4" customFormat="1" ht="15">
      <c r="F542" s="48"/>
    </row>
    <row r="543" spans="6:6" s="4" customFormat="1" ht="15">
      <c r="F543" s="48"/>
    </row>
    <row r="544" spans="6:6" s="4" customFormat="1" ht="15">
      <c r="F544" s="48"/>
    </row>
    <row r="545" spans="6:6" s="4" customFormat="1" ht="15">
      <c r="F545" s="48"/>
    </row>
    <row r="546" spans="6:6" s="4" customFormat="1" ht="15">
      <c r="F546" s="48"/>
    </row>
    <row r="547" spans="6:6" s="4" customFormat="1" ht="15">
      <c r="F547" s="48"/>
    </row>
    <row r="548" spans="6:6" s="4" customFormat="1" ht="15">
      <c r="F548" s="48"/>
    </row>
    <row r="549" spans="6:6" s="4" customFormat="1" ht="15">
      <c r="F549" s="48"/>
    </row>
    <row r="550" spans="6:6" s="4" customFormat="1" ht="15">
      <c r="F550" s="48"/>
    </row>
    <row r="551" spans="6:6" s="4" customFormat="1" ht="15">
      <c r="F551" s="48"/>
    </row>
    <row r="552" spans="6:6" s="4" customFormat="1" ht="15">
      <c r="F552" s="48"/>
    </row>
    <row r="553" spans="6:6" s="4" customFormat="1" ht="15">
      <c r="F553" s="48"/>
    </row>
    <row r="554" spans="6:6" s="4" customFormat="1" ht="15">
      <c r="F554" s="48"/>
    </row>
    <row r="555" spans="6:6" s="4" customFormat="1" ht="15">
      <c r="F555" s="48"/>
    </row>
    <row r="556" spans="6:6" s="4" customFormat="1" ht="15">
      <c r="F556" s="48"/>
    </row>
    <row r="557" spans="6:6" s="4" customFormat="1" ht="15">
      <c r="F557" s="48"/>
    </row>
    <row r="558" spans="6:6" s="4" customFormat="1" ht="15">
      <c r="F558" s="48"/>
    </row>
    <row r="559" spans="6:6" s="4" customFormat="1" ht="15">
      <c r="F559" s="48"/>
    </row>
    <row r="560" spans="6:6" s="4" customFormat="1" ht="15">
      <c r="F560" s="48"/>
    </row>
    <row r="561" spans="6:6" s="4" customFormat="1" ht="15">
      <c r="F561" s="48"/>
    </row>
    <row r="562" spans="6:6" s="4" customFormat="1" ht="15">
      <c r="F562" s="48"/>
    </row>
    <row r="563" spans="6:6" s="4" customFormat="1" ht="15">
      <c r="F563" s="48"/>
    </row>
    <row r="564" spans="6:6" s="4" customFormat="1" ht="15">
      <c r="F564" s="48"/>
    </row>
    <row r="565" spans="6:6" s="4" customFormat="1" ht="15">
      <c r="F565" s="48"/>
    </row>
    <row r="566" spans="6:6" s="4" customFormat="1" ht="15">
      <c r="F566" s="48"/>
    </row>
    <row r="567" spans="6:6" s="4" customFormat="1" ht="15">
      <c r="F567" s="48"/>
    </row>
    <row r="568" spans="6:6" s="4" customFormat="1" ht="15">
      <c r="F568" s="48"/>
    </row>
    <row r="569" spans="6:6" s="4" customFormat="1" ht="15">
      <c r="F569" s="48"/>
    </row>
    <row r="570" spans="6:6" s="4" customFormat="1" ht="15">
      <c r="F570" s="48"/>
    </row>
    <row r="571" spans="6:6" s="4" customFormat="1" ht="15">
      <c r="F571" s="48"/>
    </row>
    <row r="572" spans="6:6" s="4" customFormat="1" ht="15">
      <c r="F572" s="48"/>
    </row>
    <row r="573" spans="6:6" s="4" customFormat="1" ht="15">
      <c r="F573" s="48"/>
    </row>
    <row r="574" spans="6:6" s="4" customFormat="1" ht="15">
      <c r="F574" s="48"/>
    </row>
    <row r="575" spans="6:6" s="4" customFormat="1" ht="15">
      <c r="F575" s="48"/>
    </row>
    <row r="576" spans="6:6" s="4" customFormat="1" ht="15">
      <c r="F576" s="48"/>
    </row>
    <row r="577" spans="6:6" s="4" customFormat="1" ht="15">
      <c r="F577" s="48"/>
    </row>
    <row r="578" spans="6:6" s="4" customFormat="1" ht="15">
      <c r="F578" s="48"/>
    </row>
    <row r="579" spans="6:6" s="4" customFormat="1" ht="15">
      <c r="F579" s="48"/>
    </row>
    <row r="580" spans="6:6" s="4" customFormat="1" ht="15">
      <c r="F580" s="48"/>
    </row>
    <row r="581" spans="6:6" s="4" customFormat="1" ht="15">
      <c r="F581" s="48"/>
    </row>
    <row r="582" spans="6:6" s="4" customFormat="1" ht="15">
      <c r="F582" s="48"/>
    </row>
    <row r="583" spans="6:6" s="4" customFormat="1" ht="15">
      <c r="F583" s="48"/>
    </row>
    <row r="584" spans="6:6" s="4" customFormat="1" ht="15">
      <c r="F584" s="48"/>
    </row>
    <row r="585" spans="6:6" s="4" customFormat="1" ht="15">
      <c r="F585" s="48"/>
    </row>
    <row r="586" spans="6:6" s="4" customFormat="1" ht="15">
      <c r="F586" s="48"/>
    </row>
    <row r="587" spans="6:6" s="4" customFormat="1" ht="15">
      <c r="F587" s="48"/>
    </row>
    <row r="588" spans="6:6" s="4" customFormat="1" ht="15">
      <c r="F588" s="48"/>
    </row>
    <row r="589" spans="6:6" s="4" customFormat="1" ht="15">
      <c r="F589" s="48"/>
    </row>
    <row r="590" spans="6:6" s="4" customFormat="1" ht="15">
      <c r="F590" s="48"/>
    </row>
    <row r="591" spans="6:6" s="4" customFormat="1" ht="15">
      <c r="F591" s="48"/>
    </row>
    <row r="592" spans="6:6" s="4" customFormat="1" ht="15">
      <c r="F592" s="48"/>
    </row>
    <row r="593" spans="6:6" s="4" customFormat="1" ht="15">
      <c r="F593" s="48"/>
    </row>
    <row r="594" spans="6:6" s="4" customFormat="1" ht="15">
      <c r="F594" s="48"/>
    </row>
    <row r="595" spans="6:6" s="4" customFormat="1" ht="15">
      <c r="F595" s="48"/>
    </row>
    <row r="596" spans="6:6" s="4" customFormat="1" ht="15">
      <c r="F596" s="48"/>
    </row>
    <row r="597" spans="6:6" s="4" customFormat="1" ht="15">
      <c r="F597" s="48"/>
    </row>
    <row r="598" spans="6:6" s="4" customFormat="1" ht="15">
      <c r="F598" s="48"/>
    </row>
    <row r="599" spans="6:6" s="4" customFormat="1" ht="15">
      <c r="F599" s="48"/>
    </row>
    <row r="600" spans="6:6" s="4" customFormat="1" ht="15">
      <c r="F600" s="48"/>
    </row>
    <row r="601" spans="6:6" s="4" customFormat="1" ht="15">
      <c r="F601" s="48"/>
    </row>
    <row r="602" spans="6:6" s="4" customFormat="1" ht="15">
      <c r="F602" s="48"/>
    </row>
    <row r="603" spans="6:6" s="4" customFormat="1" ht="15">
      <c r="F603" s="48"/>
    </row>
    <row r="604" spans="6:6" s="4" customFormat="1" ht="15">
      <c r="F604" s="48"/>
    </row>
    <row r="605" spans="6:6" s="4" customFormat="1" ht="15">
      <c r="F605" s="48"/>
    </row>
    <row r="606" spans="6:6" s="4" customFormat="1" ht="15">
      <c r="F606" s="48"/>
    </row>
    <row r="607" spans="6:6" s="4" customFormat="1" ht="15">
      <c r="F607" s="48"/>
    </row>
    <row r="608" spans="6:6" s="4" customFormat="1" ht="15">
      <c r="F608" s="48"/>
    </row>
    <row r="609" spans="6:6" s="4" customFormat="1" ht="15">
      <c r="F609" s="48"/>
    </row>
    <row r="610" spans="6:6" s="4" customFormat="1" ht="15">
      <c r="F610" s="48"/>
    </row>
    <row r="611" spans="6:6" s="4" customFormat="1" ht="15">
      <c r="F611" s="48"/>
    </row>
    <row r="612" spans="6:6" s="4" customFormat="1" ht="15">
      <c r="F612" s="48"/>
    </row>
    <row r="613" spans="6:6" s="4" customFormat="1" ht="15">
      <c r="F613" s="48"/>
    </row>
    <row r="614" spans="6:6" s="4" customFormat="1" ht="15">
      <c r="F614" s="48"/>
    </row>
    <row r="615" spans="6:6" s="4" customFormat="1" ht="15">
      <c r="F615" s="48"/>
    </row>
    <row r="616" spans="6:6" s="4" customFormat="1" ht="15">
      <c r="F616" s="48"/>
    </row>
    <row r="617" spans="6:6" s="4" customFormat="1" ht="15">
      <c r="F617" s="48"/>
    </row>
    <row r="618" spans="6:6" s="4" customFormat="1" ht="15">
      <c r="F618" s="48"/>
    </row>
    <row r="619" spans="6:6" s="4" customFormat="1" ht="15">
      <c r="F619" s="48"/>
    </row>
    <row r="620" spans="6:6" s="4" customFormat="1" ht="15">
      <c r="F620" s="48"/>
    </row>
    <row r="621" spans="6:6" s="4" customFormat="1" ht="15">
      <c r="F621" s="48"/>
    </row>
    <row r="622" spans="6:6" s="4" customFormat="1" ht="15">
      <c r="F622" s="48"/>
    </row>
    <row r="623" spans="6:6" s="4" customFormat="1" ht="15">
      <c r="F623" s="48"/>
    </row>
    <row r="624" spans="6:6" s="4" customFormat="1" ht="15">
      <c r="F624" s="48"/>
    </row>
    <row r="625" spans="6:6" s="4" customFormat="1" ht="15">
      <c r="F625" s="48"/>
    </row>
    <row r="626" spans="6:6" s="4" customFormat="1" ht="15">
      <c r="F626" s="48"/>
    </row>
    <row r="627" spans="6:6" s="4" customFormat="1" ht="15">
      <c r="F627" s="48"/>
    </row>
    <row r="628" spans="6:6" s="4" customFormat="1" ht="15">
      <c r="F628" s="48"/>
    </row>
    <row r="629" spans="6:6" s="4" customFormat="1" ht="15">
      <c r="F629" s="48"/>
    </row>
    <row r="630" spans="6:6" s="4" customFormat="1" ht="15">
      <c r="F630" s="48"/>
    </row>
    <row r="631" spans="6:6" s="4" customFormat="1" ht="15">
      <c r="F631" s="48"/>
    </row>
    <row r="632" spans="6:6" s="4" customFormat="1" ht="15">
      <c r="F632" s="48"/>
    </row>
    <row r="633" spans="6:6" s="4" customFormat="1" ht="15">
      <c r="F633" s="48"/>
    </row>
    <row r="634" spans="6:6" s="4" customFormat="1" ht="15">
      <c r="F634" s="48"/>
    </row>
    <row r="635" spans="6:6" s="4" customFormat="1" ht="15">
      <c r="F635" s="48"/>
    </row>
    <row r="636" spans="6:6" s="4" customFormat="1" ht="15">
      <c r="F636" s="48"/>
    </row>
    <row r="637" spans="6:6" s="4" customFormat="1" ht="15">
      <c r="F637" s="48"/>
    </row>
    <row r="638" spans="6:6" s="4" customFormat="1" ht="15">
      <c r="F638" s="48"/>
    </row>
    <row r="639" spans="6:6" s="4" customFormat="1" ht="15">
      <c r="F639" s="48"/>
    </row>
    <row r="640" spans="6:6" s="4" customFormat="1" ht="15">
      <c r="F640" s="48"/>
    </row>
    <row r="641" spans="6:6" s="4" customFormat="1" ht="15">
      <c r="F641" s="48"/>
    </row>
    <row r="642" spans="6:6" s="4" customFormat="1" ht="15">
      <c r="F642" s="48"/>
    </row>
    <row r="643" spans="6:6" s="4" customFormat="1" ht="15">
      <c r="F643" s="48"/>
    </row>
    <row r="644" spans="6:6" s="4" customFormat="1" ht="15">
      <c r="F644" s="48"/>
    </row>
    <row r="645" spans="6:6" s="4" customFormat="1" ht="15">
      <c r="F645" s="48"/>
    </row>
    <row r="646" spans="6:6" s="4" customFormat="1" ht="15">
      <c r="F646" s="48"/>
    </row>
    <row r="647" spans="6:6" s="4" customFormat="1" ht="15">
      <c r="F647" s="48"/>
    </row>
    <row r="648" spans="6:6" s="4" customFormat="1" ht="15">
      <c r="F648" s="48"/>
    </row>
    <row r="649" spans="6:6" s="4" customFormat="1" ht="15">
      <c r="F649" s="48"/>
    </row>
    <row r="650" spans="6:6" s="4" customFormat="1" ht="15">
      <c r="F650" s="48"/>
    </row>
    <row r="651" spans="6:6" s="4" customFormat="1" ht="15">
      <c r="F651" s="48"/>
    </row>
    <row r="652" spans="6:6" s="4" customFormat="1" ht="15">
      <c r="F652" s="48"/>
    </row>
    <row r="653" spans="6:6" s="4" customFormat="1" ht="15">
      <c r="F653" s="48"/>
    </row>
    <row r="654" spans="6:6" s="4" customFormat="1" ht="15">
      <c r="F654" s="48"/>
    </row>
    <row r="655" spans="6:6" s="4" customFormat="1" ht="15">
      <c r="F655" s="48"/>
    </row>
    <row r="656" spans="6:6" s="4" customFormat="1" ht="15">
      <c r="F656" s="48"/>
    </row>
    <row r="657" spans="6:6" s="4" customFormat="1" ht="15">
      <c r="F657" s="48"/>
    </row>
    <row r="658" spans="6:6" s="4" customFormat="1" ht="15">
      <c r="F658" s="48"/>
    </row>
    <row r="659" spans="6:6" s="4" customFormat="1" ht="15">
      <c r="F659" s="48"/>
    </row>
    <row r="660" spans="6:6" s="4" customFormat="1" ht="15">
      <c r="F660" s="48"/>
    </row>
    <row r="661" spans="6:6" s="4" customFormat="1" ht="15">
      <c r="F661" s="48"/>
    </row>
    <row r="662" spans="6:6" s="4" customFormat="1" ht="15">
      <c r="F662" s="48"/>
    </row>
    <row r="663" spans="6:6" s="4" customFormat="1" ht="15">
      <c r="F663" s="48"/>
    </row>
    <row r="664" spans="6:6" s="4" customFormat="1" ht="15">
      <c r="F664" s="48"/>
    </row>
    <row r="665" spans="6:6" s="4" customFormat="1" ht="15">
      <c r="F665" s="48"/>
    </row>
    <row r="666" spans="6:6" s="4" customFormat="1" ht="15">
      <c r="F666" s="48"/>
    </row>
    <row r="667" spans="6:6" s="4" customFormat="1" ht="15">
      <c r="F667" s="48"/>
    </row>
    <row r="668" spans="6:6" s="4" customFormat="1" ht="15">
      <c r="F668" s="48"/>
    </row>
    <row r="669" spans="6:6" s="4" customFormat="1" ht="15">
      <c r="F669" s="48"/>
    </row>
    <row r="670" spans="6:6" s="4" customFormat="1" ht="15">
      <c r="F670" s="48"/>
    </row>
    <row r="671" spans="6:6" s="4" customFormat="1" ht="15">
      <c r="F671" s="48"/>
    </row>
    <row r="672" spans="6:6" s="4" customFormat="1" ht="15">
      <c r="F672" s="48"/>
    </row>
    <row r="673" spans="6:6" s="4" customFormat="1" ht="15">
      <c r="F673" s="48"/>
    </row>
    <row r="674" spans="6:6" s="4" customFormat="1" ht="15">
      <c r="F674" s="48"/>
    </row>
    <row r="675" spans="6:6" s="4" customFormat="1" ht="15">
      <c r="F675" s="48"/>
    </row>
    <row r="676" spans="6:6" s="4" customFormat="1" ht="15">
      <c r="F676" s="48"/>
    </row>
    <row r="677" spans="6:6" s="4" customFormat="1" ht="15">
      <c r="F677" s="48"/>
    </row>
    <row r="678" spans="6:6" s="4" customFormat="1" ht="15">
      <c r="F678" s="48"/>
    </row>
    <row r="679" spans="6:6" s="4" customFormat="1" ht="15">
      <c r="F679" s="48"/>
    </row>
    <row r="680" spans="6:6" s="4" customFormat="1" ht="15">
      <c r="F680" s="48"/>
    </row>
    <row r="681" spans="6:6" s="4" customFormat="1" ht="15">
      <c r="F681" s="48"/>
    </row>
    <row r="682" spans="6:6" s="4" customFormat="1" ht="15">
      <c r="F682" s="48"/>
    </row>
    <row r="683" spans="6:6" s="4" customFormat="1" ht="15">
      <c r="F683" s="48"/>
    </row>
    <row r="684" spans="6:6" s="4" customFormat="1" ht="15">
      <c r="F684" s="48"/>
    </row>
    <row r="685" spans="6:6" s="4" customFormat="1" ht="15">
      <c r="F685" s="48"/>
    </row>
    <row r="686" spans="6:6" s="4" customFormat="1" ht="15">
      <c r="F686" s="48"/>
    </row>
    <row r="687" spans="6:6" s="4" customFormat="1" ht="15">
      <c r="F687" s="48"/>
    </row>
    <row r="688" spans="6:6" s="4" customFormat="1" ht="15">
      <c r="F688" s="48"/>
    </row>
    <row r="689" spans="6:6" s="4" customFormat="1" ht="15">
      <c r="F689" s="48"/>
    </row>
    <row r="690" spans="6:6" s="4" customFormat="1" ht="15">
      <c r="F690" s="48"/>
    </row>
    <row r="691" spans="6:6" s="4" customFormat="1" ht="15">
      <c r="F691" s="48"/>
    </row>
    <row r="692" spans="6:6" s="4" customFormat="1" ht="15">
      <c r="F692" s="48"/>
    </row>
    <row r="693" spans="6:6" s="4" customFormat="1" ht="15">
      <c r="F693" s="48"/>
    </row>
    <row r="694" spans="6:6" s="4" customFormat="1" ht="15">
      <c r="F694" s="48"/>
    </row>
    <row r="695" spans="6:6" s="4" customFormat="1" ht="15">
      <c r="F695" s="48"/>
    </row>
    <row r="696" spans="6:6" s="4" customFormat="1" ht="15">
      <c r="F696" s="48"/>
    </row>
    <row r="697" spans="6:6" s="4" customFormat="1" ht="15">
      <c r="F697" s="48"/>
    </row>
    <row r="698" spans="6:6" s="4" customFormat="1" ht="15">
      <c r="F698" s="48"/>
    </row>
    <row r="699" spans="6:6" s="4" customFormat="1" ht="15">
      <c r="F699" s="48"/>
    </row>
    <row r="700" spans="6:6" s="4" customFormat="1" ht="15">
      <c r="F700" s="48"/>
    </row>
    <row r="701" spans="6:6" s="4" customFormat="1" ht="15">
      <c r="F701" s="48"/>
    </row>
    <row r="702" spans="6:6" s="4" customFormat="1" ht="15">
      <c r="F702" s="48"/>
    </row>
    <row r="703" spans="6:6" s="4" customFormat="1" ht="15">
      <c r="F703" s="48"/>
    </row>
    <row r="704" spans="6:6" s="4" customFormat="1" ht="15">
      <c r="F704" s="48"/>
    </row>
    <row r="705" spans="6:6" s="4" customFormat="1" ht="15">
      <c r="F705" s="48"/>
    </row>
    <row r="706" spans="6:6" s="4" customFormat="1" ht="15">
      <c r="F706" s="48"/>
    </row>
    <row r="707" spans="6:6" s="4" customFormat="1" ht="15">
      <c r="F707" s="48"/>
    </row>
    <row r="708" spans="6:6" s="4" customFormat="1" ht="15">
      <c r="F708" s="48"/>
    </row>
    <row r="709" spans="6:6" s="4" customFormat="1" ht="15">
      <c r="F709" s="48"/>
    </row>
    <row r="710" spans="6:6" s="4" customFormat="1" ht="15">
      <c r="F710" s="48"/>
    </row>
    <row r="711" spans="6:6" s="4" customFormat="1" ht="15">
      <c r="F711" s="48"/>
    </row>
    <row r="712" spans="6:6" s="4" customFormat="1" ht="15">
      <c r="F712" s="48"/>
    </row>
    <row r="713" spans="6:6" s="4" customFormat="1" ht="15">
      <c r="F713" s="48"/>
    </row>
    <row r="714" spans="6:6" s="4" customFormat="1" ht="15">
      <c r="F714" s="48"/>
    </row>
    <row r="715" spans="6:6" s="4" customFormat="1" ht="15">
      <c r="F715" s="48"/>
    </row>
    <row r="716" spans="6:6" s="4" customFormat="1" ht="15">
      <c r="F716" s="48"/>
    </row>
    <row r="717" spans="6:6" s="4" customFormat="1" ht="15">
      <c r="F717" s="48"/>
    </row>
    <row r="718" spans="6:6" s="4" customFormat="1" ht="15">
      <c r="F718" s="48"/>
    </row>
    <row r="719" spans="6:6" s="4" customFormat="1" ht="15">
      <c r="F719" s="48"/>
    </row>
    <row r="720" spans="6:6" s="4" customFormat="1" ht="15">
      <c r="F720" s="48"/>
    </row>
    <row r="721" spans="6:6" s="4" customFormat="1" ht="15">
      <c r="F721" s="48"/>
    </row>
    <row r="722" spans="6:6" s="4" customFormat="1" ht="15">
      <c r="F722" s="48"/>
    </row>
    <row r="723" spans="6:6" s="4" customFormat="1" ht="15">
      <c r="F723" s="48"/>
    </row>
    <row r="724" spans="6:6" s="4" customFormat="1" ht="15">
      <c r="F724" s="48"/>
    </row>
    <row r="725" spans="6:6" s="4" customFormat="1" ht="15">
      <c r="F725" s="48"/>
    </row>
    <row r="726" spans="6:6" s="4" customFormat="1" ht="15">
      <c r="F726" s="48"/>
    </row>
    <row r="727" spans="6:6" s="4" customFormat="1" ht="15">
      <c r="F727" s="48"/>
    </row>
    <row r="728" spans="6:6" s="4" customFormat="1" ht="15">
      <c r="F728" s="48"/>
    </row>
    <row r="729" spans="6:6" s="4" customFormat="1" ht="15">
      <c r="F729" s="48"/>
    </row>
    <row r="730" spans="6:6" s="4" customFormat="1" ht="15">
      <c r="F730" s="48"/>
    </row>
    <row r="731" spans="6:6" s="4" customFormat="1" ht="15">
      <c r="F731" s="48"/>
    </row>
    <row r="732" spans="6:6" s="4" customFormat="1" ht="15">
      <c r="F732" s="48"/>
    </row>
    <row r="733" spans="6:6" s="4" customFormat="1" ht="15">
      <c r="F733" s="48"/>
    </row>
    <row r="734" spans="6:6" s="4" customFormat="1" ht="15">
      <c r="F734" s="48"/>
    </row>
    <row r="735" spans="6:6" s="4" customFormat="1" ht="15">
      <c r="F735" s="48"/>
    </row>
    <row r="736" spans="6:6" s="4" customFormat="1" ht="15">
      <c r="F736" s="48"/>
    </row>
    <row r="737" spans="6:6" s="4" customFormat="1" ht="15">
      <c r="F737" s="48"/>
    </row>
    <row r="738" spans="6:6" s="4" customFormat="1" ht="15">
      <c r="F738" s="48"/>
    </row>
    <row r="739" spans="6:6" s="4" customFormat="1" ht="15">
      <c r="F739" s="48"/>
    </row>
    <row r="740" spans="6:6" s="4" customFormat="1" ht="15">
      <c r="F740" s="48"/>
    </row>
    <row r="741" spans="6:6" s="4" customFormat="1" ht="15">
      <c r="F741" s="48"/>
    </row>
    <row r="742" spans="6:6" s="4" customFormat="1" ht="15">
      <c r="F742" s="48"/>
    </row>
    <row r="743" spans="6:6" s="4" customFormat="1" ht="15">
      <c r="F743" s="48"/>
    </row>
    <row r="744" spans="6:6" s="4" customFormat="1" ht="15">
      <c r="F744" s="48"/>
    </row>
    <row r="745" spans="6:6" s="4" customFormat="1" ht="15">
      <c r="F745" s="48"/>
    </row>
    <row r="746" spans="6:6" s="4" customFormat="1" ht="15">
      <c r="F746" s="48"/>
    </row>
    <row r="747" spans="6:6" s="4" customFormat="1" ht="15">
      <c r="F747" s="48"/>
    </row>
    <row r="748" spans="6:6" s="4" customFormat="1" ht="15">
      <c r="F748" s="48"/>
    </row>
    <row r="749" spans="6:6" s="4" customFormat="1" ht="15">
      <c r="F749" s="48"/>
    </row>
    <row r="750" spans="6:6" s="4" customFormat="1" ht="15">
      <c r="F750" s="48"/>
    </row>
    <row r="751" spans="6:6" s="4" customFormat="1" ht="15">
      <c r="F751" s="48"/>
    </row>
    <row r="752" spans="6:6" s="4" customFormat="1" ht="15">
      <c r="F752" s="48"/>
    </row>
    <row r="753" spans="6:6" s="4" customFormat="1" ht="15">
      <c r="F753" s="48"/>
    </row>
    <row r="754" spans="6:6" s="4" customFormat="1" ht="15">
      <c r="F754" s="48"/>
    </row>
    <row r="755" spans="6:6" s="4" customFormat="1" ht="15">
      <c r="F755" s="48"/>
    </row>
    <row r="756" spans="6:6" s="4" customFormat="1" ht="15">
      <c r="F756" s="48"/>
    </row>
    <row r="757" spans="6:6" s="4" customFormat="1" ht="15">
      <c r="F757" s="48"/>
    </row>
    <row r="758" spans="6:6" s="4" customFormat="1" ht="15">
      <c r="F758" s="48"/>
    </row>
    <row r="759" spans="6:6" s="4" customFormat="1" ht="15">
      <c r="F759" s="48"/>
    </row>
    <row r="760" spans="6:6" s="4" customFormat="1" ht="15">
      <c r="F760" s="48"/>
    </row>
    <row r="761" spans="6:6" s="4" customFormat="1" ht="15">
      <c r="F761" s="48"/>
    </row>
    <row r="762" spans="6:6" s="4" customFormat="1" ht="15">
      <c r="F762" s="48"/>
    </row>
    <row r="763" spans="6:6" s="4" customFormat="1" ht="15">
      <c r="F763" s="48"/>
    </row>
    <row r="764" spans="6:6" s="4" customFormat="1" ht="15">
      <c r="F764" s="48"/>
    </row>
    <row r="765" spans="6:6" s="4" customFormat="1" ht="15">
      <c r="F765" s="48"/>
    </row>
    <row r="766" spans="6:6" s="4" customFormat="1" ht="15">
      <c r="F766" s="48"/>
    </row>
    <row r="767" spans="6:6" s="4" customFormat="1" ht="15">
      <c r="F767" s="48"/>
    </row>
    <row r="768" spans="6:6" s="4" customFormat="1" ht="15">
      <c r="F768" s="48"/>
    </row>
    <row r="769" spans="6:6" s="4" customFormat="1" ht="15">
      <c r="F769" s="48"/>
    </row>
    <row r="770" spans="6:6" s="4" customFormat="1" ht="15">
      <c r="F770" s="48"/>
    </row>
    <row r="771" spans="6:6" s="4" customFormat="1" ht="15">
      <c r="F771" s="48"/>
    </row>
    <row r="772" spans="6:6" s="4" customFormat="1" ht="15">
      <c r="F772" s="48"/>
    </row>
    <row r="773" spans="6:6" s="4" customFormat="1" ht="15">
      <c r="F773" s="48"/>
    </row>
    <row r="774" spans="6:6" s="4" customFormat="1" ht="15">
      <c r="F774" s="48"/>
    </row>
    <row r="775" spans="6:6" s="4" customFormat="1" ht="15">
      <c r="F775" s="48"/>
    </row>
    <row r="776" spans="6:6" s="4" customFormat="1" ht="15">
      <c r="F776" s="48"/>
    </row>
    <row r="777" spans="6:6" s="4" customFormat="1" ht="15">
      <c r="F777" s="48"/>
    </row>
    <row r="778" spans="6:6" s="4" customFormat="1" ht="15">
      <c r="F778" s="48"/>
    </row>
    <row r="779" spans="6:6" s="4" customFormat="1" ht="15">
      <c r="F779" s="48"/>
    </row>
    <row r="780" spans="6:6" s="4" customFormat="1" ht="15">
      <c r="F780" s="48"/>
    </row>
    <row r="781" spans="6:6" s="4" customFormat="1" ht="15">
      <c r="F781" s="48"/>
    </row>
    <row r="782" spans="6:6" s="4" customFormat="1" ht="15">
      <c r="F782" s="48"/>
    </row>
    <row r="783" spans="6:6" s="4" customFormat="1" ht="15">
      <c r="F783" s="48"/>
    </row>
    <row r="784" spans="6:6" s="4" customFormat="1" ht="15">
      <c r="F784" s="48"/>
    </row>
    <row r="785" spans="6:6" s="4" customFormat="1" ht="15">
      <c r="F785" s="48"/>
    </row>
    <row r="786" spans="6:6" s="4" customFormat="1" ht="15">
      <c r="F786" s="48"/>
    </row>
    <row r="787" spans="6:6" s="4" customFormat="1" ht="15">
      <c r="F787" s="48"/>
    </row>
    <row r="788" spans="6:6" s="4" customFormat="1" ht="15">
      <c r="F788" s="48"/>
    </row>
    <row r="789" spans="6:6" s="4" customFormat="1" ht="15">
      <c r="F789" s="48"/>
    </row>
    <row r="790" spans="6:6" s="4" customFormat="1" ht="15">
      <c r="F790" s="48"/>
    </row>
    <row r="791" spans="6:6" s="4" customFormat="1" ht="15">
      <c r="F791" s="48"/>
    </row>
    <row r="792" spans="6:6" s="4" customFormat="1" ht="15">
      <c r="F792" s="48"/>
    </row>
    <row r="793" spans="6:6" s="4" customFormat="1" ht="15">
      <c r="F793" s="48"/>
    </row>
    <row r="794" spans="6:6" s="4" customFormat="1" ht="15">
      <c r="F794" s="48"/>
    </row>
    <row r="795" spans="6:6" s="4" customFormat="1" ht="15">
      <c r="F795" s="48"/>
    </row>
    <row r="796" spans="6:6" s="4" customFormat="1" ht="15">
      <c r="F796" s="48"/>
    </row>
    <row r="797" spans="6:6" s="4" customFormat="1" ht="15">
      <c r="F797" s="48"/>
    </row>
    <row r="798" spans="6:6" s="4" customFormat="1" ht="15">
      <c r="F798" s="48"/>
    </row>
    <row r="799" spans="6:6" s="4" customFormat="1" ht="15">
      <c r="F799" s="48"/>
    </row>
    <row r="800" spans="6:6" s="4" customFormat="1" ht="15">
      <c r="F800" s="48"/>
    </row>
    <row r="801" spans="6:6" s="4" customFormat="1" ht="15">
      <c r="F801" s="48"/>
    </row>
    <row r="802" spans="6:6" s="4" customFormat="1" ht="15">
      <c r="F802" s="48"/>
    </row>
    <row r="803" spans="6:6" s="4" customFormat="1" ht="15">
      <c r="F803" s="48"/>
    </row>
    <row r="804" spans="6:6" s="4" customFormat="1" ht="15">
      <c r="F804" s="48"/>
    </row>
    <row r="805" spans="6:6" s="4" customFormat="1" ht="15">
      <c r="F805" s="48"/>
    </row>
    <row r="806" spans="6:6" s="4" customFormat="1" ht="15">
      <c r="F806" s="48"/>
    </row>
    <row r="807" spans="6:6" s="4" customFormat="1" ht="15">
      <c r="F807" s="48"/>
    </row>
    <row r="808" spans="6:6" s="4" customFormat="1" ht="15">
      <c r="F808" s="48"/>
    </row>
    <row r="809" spans="6:6" s="4" customFormat="1" ht="15">
      <c r="F809" s="48"/>
    </row>
    <row r="810" spans="6:6" s="4" customFormat="1" ht="15">
      <c r="F810" s="48"/>
    </row>
    <row r="811" spans="6:6" s="4" customFormat="1" ht="15">
      <c r="F811" s="48"/>
    </row>
    <row r="812" spans="6:6" s="4" customFormat="1" ht="15">
      <c r="F812" s="48"/>
    </row>
    <row r="813" spans="6:6" s="4" customFormat="1" ht="15">
      <c r="F813" s="48"/>
    </row>
    <row r="814" spans="6:6" s="4" customFormat="1" ht="15">
      <c r="F814" s="48"/>
    </row>
    <row r="815" spans="6:6" s="4" customFormat="1" ht="15">
      <c r="F815" s="48"/>
    </row>
    <row r="816" spans="6:6" s="4" customFormat="1" ht="15">
      <c r="F816" s="48"/>
    </row>
    <row r="817" spans="6:6" s="4" customFormat="1" ht="15">
      <c r="F817" s="48"/>
    </row>
    <row r="818" spans="6:6" s="4" customFormat="1" ht="15">
      <c r="F818" s="48"/>
    </row>
    <row r="819" spans="6:6" s="4" customFormat="1" ht="15">
      <c r="F819" s="48"/>
    </row>
    <row r="820" spans="6:6" s="4" customFormat="1" ht="15">
      <c r="F820" s="48"/>
    </row>
    <row r="821" spans="6:6" s="4" customFormat="1" ht="15">
      <c r="F821" s="48"/>
    </row>
    <row r="822" spans="6:6" s="4" customFormat="1" ht="15">
      <c r="F822" s="48"/>
    </row>
    <row r="823" spans="6:6" s="4" customFormat="1" ht="15">
      <c r="F823" s="48"/>
    </row>
    <row r="824" spans="6:6" s="4" customFormat="1" ht="15">
      <c r="F824" s="48"/>
    </row>
    <row r="825" spans="6:6" s="4" customFormat="1" ht="15">
      <c r="F825" s="48"/>
    </row>
    <row r="826" spans="6:6" s="4" customFormat="1" ht="15">
      <c r="F826" s="48"/>
    </row>
    <row r="827" spans="6:6" s="4" customFormat="1" ht="15">
      <c r="F827" s="48"/>
    </row>
    <row r="828" spans="6:6" s="4" customFormat="1" ht="15">
      <c r="F828" s="48"/>
    </row>
    <row r="829" spans="6:6" s="4" customFormat="1" ht="15">
      <c r="F829" s="48"/>
    </row>
    <row r="830" spans="6:6" s="4" customFormat="1" ht="15">
      <c r="F830" s="48"/>
    </row>
    <row r="831" spans="6:6" s="4" customFormat="1" ht="15">
      <c r="F831" s="48"/>
    </row>
    <row r="832" spans="6:6" s="4" customFormat="1" ht="15">
      <c r="F832" s="48"/>
    </row>
    <row r="833" spans="6:6" s="4" customFormat="1" ht="15">
      <c r="F833" s="48"/>
    </row>
    <row r="834" spans="6:6" s="4" customFormat="1" ht="15">
      <c r="F834" s="48"/>
    </row>
    <row r="835" spans="6:6" s="4" customFormat="1" ht="15">
      <c r="F835" s="48"/>
    </row>
    <row r="836" spans="6:6" s="4" customFormat="1" ht="15">
      <c r="F836" s="48"/>
    </row>
    <row r="837" spans="6:6" s="4" customFormat="1" ht="15">
      <c r="F837" s="48"/>
    </row>
    <row r="838" spans="6:6" s="4" customFormat="1" ht="15">
      <c r="F838" s="48"/>
    </row>
    <row r="839" spans="6:6" s="4" customFormat="1" ht="15">
      <c r="F839" s="48"/>
    </row>
    <row r="840" spans="6:6" s="4" customFormat="1" ht="15">
      <c r="F840" s="48"/>
    </row>
    <row r="841" spans="6:6" s="4" customFormat="1" ht="15">
      <c r="F841" s="48"/>
    </row>
    <row r="842" spans="6:6" s="4" customFormat="1" ht="15">
      <c r="F842" s="48"/>
    </row>
    <row r="843" spans="6:6" s="4" customFormat="1" ht="15">
      <c r="F843" s="48"/>
    </row>
    <row r="844" spans="6:6" s="4" customFormat="1" ht="15">
      <c r="F844" s="48"/>
    </row>
    <row r="845" spans="6:6" s="4" customFormat="1" ht="15">
      <c r="F845" s="48"/>
    </row>
    <row r="846" spans="6:6" s="4" customFormat="1" ht="15">
      <c r="F846" s="48"/>
    </row>
    <row r="847" spans="6:6" s="4" customFormat="1" ht="15">
      <c r="F847" s="48"/>
    </row>
    <row r="848" spans="6:6" s="4" customFormat="1" ht="15">
      <c r="F848" s="48"/>
    </row>
    <row r="849" spans="6:6" s="4" customFormat="1" ht="15">
      <c r="F849" s="48"/>
    </row>
    <row r="850" spans="6:6" s="4" customFormat="1" ht="15">
      <c r="F850" s="48"/>
    </row>
    <row r="851" spans="6:6" s="4" customFormat="1" ht="15">
      <c r="F851" s="48"/>
    </row>
    <row r="852" spans="6:6" s="4" customFormat="1" ht="15">
      <c r="F852" s="48"/>
    </row>
    <row r="853" spans="6:6" s="4" customFormat="1" ht="15">
      <c r="F853" s="48"/>
    </row>
    <row r="854" spans="6:6" s="4" customFormat="1" ht="15">
      <c r="F854" s="48"/>
    </row>
    <row r="855" spans="6:6" s="4" customFormat="1" ht="15">
      <c r="F855" s="48"/>
    </row>
    <row r="856" spans="6:6" s="4" customFormat="1" ht="15">
      <c r="F856" s="48"/>
    </row>
    <row r="857" spans="6:6" s="4" customFormat="1" ht="15">
      <c r="F857" s="48"/>
    </row>
    <row r="858" spans="6:6" s="4" customFormat="1" ht="15">
      <c r="F858" s="48"/>
    </row>
    <row r="859" spans="6:6" s="4" customFormat="1" ht="15">
      <c r="F859" s="48"/>
    </row>
    <row r="860" spans="6:6" s="4" customFormat="1" ht="15">
      <c r="F860" s="48"/>
    </row>
    <row r="861" spans="6:6" s="4" customFormat="1" ht="15">
      <c r="F861" s="48"/>
    </row>
    <row r="862" spans="6:6" s="4" customFormat="1" ht="15">
      <c r="F862" s="48"/>
    </row>
    <row r="863" spans="6:6" s="4" customFormat="1" ht="15">
      <c r="F863" s="48"/>
    </row>
    <row r="864" spans="6:6" s="4" customFormat="1" ht="15">
      <c r="F864" s="48"/>
    </row>
    <row r="865" spans="6:6" s="4" customFormat="1" ht="15">
      <c r="F865" s="48"/>
    </row>
    <row r="866" spans="6:6" s="4" customFormat="1" ht="15">
      <c r="F866" s="48"/>
    </row>
    <row r="867" spans="6:6" s="4" customFormat="1" ht="15">
      <c r="F867" s="48"/>
    </row>
    <row r="868" spans="6:6" s="4" customFormat="1" ht="15">
      <c r="F868" s="48"/>
    </row>
    <row r="869" spans="6:6" s="4" customFormat="1" ht="15">
      <c r="F869" s="48"/>
    </row>
    <row r="870" spans="6:6" s="4" customFormat="1" ht="15">
      <c r="F870" s="48"/>
    </row>
    <row r="871" spans="6:6" s="4" customFormat="1" ht="15">
      <c r="F871" s="48"/>
    </row>
    <row r="872" spans="6:6" s="4" customFormat="1" ht="15">
      <c r="F872" s="48"/>
    </row>
    <row r="873" spans="6:6" s="4" customFormat="1" ht="15">
      <c r="F873" s="48"/>
    </row>
    <row r="874" spans="6:6" s="4" customFormat="1" ht="15">
      <c r="F874" s="48"/>
    </row>
    <row r="875" spans="6:6" s="4" customFormat="1" ht="15">
      <c r="F875" s="48"/>
    </row>
    <row r="876" spans="6:6" s="4" customFormat="1" ht="15">
      <c r="F876" s="48"/>
    </row>
    <row r="877" spans="6:6" s="4" customFormat="1" ht="15">
      <c r="F877" s="48"/>
    </row>
    <row r="878" spans="6:6" s="4" customFormat="1" ht="15">
      <c r="F878" s="48"/>
    </row>
    <row r="879" spans="6:6" s="4" customFormat="1" ht="15">
      <c r="F879" s="48"/>
    </row>
    <row r="880" spans="6:6" s="4" customFormat="1" ht="15">
      <c r="F880" s="48"/>
    </row>
    <row r="881" spans="6:6" s="4" customFormat="1" ht="15">
      <c r="F881" s="48"/>
    </row>
    <row r="882" spans="6:6" s="4" customFormat="1" ht="15">
      <c r="F882" s="48"/>
    </row>
    <row r="883" spans="6:6" s="4" customFormat="1" ht="15">
      <c r="F883" s="48"/>
    </row>
    <row r="884" spans="6:6" s="4" customFormat="1" ht="15">
      <c r="F884" s="48"/>
    </row>
    <row r="885" spans="6:6" s="4" customFormat="1" ht="15">
      <c r="F885" s="48"/>
    </row>
    <row r="886" spans="6:6" s="4" customFormat="1" ht="15">
      <c r="F886" s="48"/>
    </row>
    <row r="887" spans="6:6" s="4" customFormat="1" ht="15">
      <c r="F887" s="48"/>
    </row>
    <row r="888" spans="6:6" s="4" customFormat="1" ht="15">
      <c r="F888" s="48"/>
    </row>
    <row r="889" spans="6:6" s="4" customFormat="1" ht="15">
      <c r="F889" s="48"/>
    </row>
    <row r="890" spans="6:6" s="4" customFormat="1" ht="15">
      <c r="F890" s="48"/>
    </row>
    <row r="891" spans="6:6" s="4" customFormat="1" ht="15">
      <c r="F891" s="48"/>
    </row>
    <row r="892" spans="6:6" s="4" customFormat="1" ht="15">
      <c r="F892" s="48"/>
    </row>
    <row r="893" spans="6:6" s="4" customFormat="1" ht="15">
      <c r="F893" s="48"/>
    </row>
    <row r="894" spans="6:6" s="4" customFormat="1" ht="15">
      <c r="F894" s="48"/>
    </row>
    <row r="895" spans="6:6" s="4" customFormat="1" ht="15">
      <c r="F895" s="48"/>
    </row>
    <row r="896" spans="6:6" s="4" customFormat="1" ht="15">
      <c r="F896" s="48"/>
    </row>
    <row r="897" spans="6:6" s="4" customFormat="1" ht="15">
      <c r="F897" s="48"/>
    </row>
    <row r="898" spans="6:6" s="4" customFormat="1" ht="15">
      <c r="F898" s="48"/>
    </row>
    <row r="899" spans="6:6" s="4" customFormat="1" ht="15">
      <c r="F899" s="48"/>
    </row>
    <row r="900" spans="6:6" s="4" customFormat="1" ht="15">
      <c r="F900" s="48"/>
    </row>
    <row r="901" spans="6:6" s="4" customFormat="1" ht="15">
      <c r="F901" s="48"/>
    </row>
    <row r="902" spans="6:6" s="4" customFormat="1" ht="15">
      <c r="F902" s="48"/>
    </row>
    <row r="903" spans="6:6" s="4" customFormat="1" ht="15">
      <c r="F903" s="48"/>
    </row>
    <row r="904" spans="6:6" s="4" customFormat="1" ht="15">
      <c r="F904" s="48"/>
    </row>
    <row r="905" spans="6:6" s="4" customFormat="1" ht="15">
      <c r="F905" s="48"/>
    </row>
    <row r="906" spans="6:6" s="4" customFormat="1" ht="15">
      <c r="F906" s="48"/>
    </row>
    <row r="907" spans="6:6" s="4" customFormat="1" ht="15">
      <c r="F907" s="48"/>
    </row>
    <row r="908" spans="6:6" s="4" customFormat="1" ht="15">
      <c r="F908" s="48"/>
    </row>
    <row r="909" spans="6:6" s="4" customFormat="1" ht="15">
      <c r="F909" s="48"/>
    </row>
    <row r="910" spans="6:6" s="4" customFormat="1" ht="15">
      <c r="F910" s="48"/>
    </row>
    <row r="911" spans="6:6" s="4" customFormat="1" ht="15">
      <c r="F911" s="48"/>
    </row>
    <row r="912" spans="6:6" s="4" customFormat="1" ht="15">
      <c r="F912" s="48"/>
    </row>
    <row r="913" spans="6:6" s="4" customFormat="1" ht="15">
      <c r="F913" s="48"/>
    </row>
    <row r="914" spans="6:6" s="4" customFormat="1" ht="15">
      <c r="F914" s="48"/>
    </row>
    <row r="915" spans="6:6" s="4" customFormat="1" ht="15">
      <c r="F915" s="48"/>
    </row>
    <row r="916" spans="6:6" s="4" customFormat="1" ht="15">
      <c r="F916" s="48"/>
    </row>
    <row r="917" spans="6:6" s="4" customFormat="1" ht="15">
      <c r="F917" s="48"/>
    </row>
    <row r="918" spans="6:6" s="4" customFormat="1" ht="15">
      <c r="F918" s="48"/>
    </row>
    <row r="919" spans="6:6" s="4" customFormat="1" ht="15">
      <c r="F919" s="48"/>
    </row>
    <row r="920" spans="6:6" s="4" customFormat="1" ht="15">
      <c r="F920" s="48"/>
    </row>
    <row r="921" spans="6:6" s="4" customFormat="1" ht="15">
      <c r="F921" s="48"/>
    </row>
    <row r="922" spans="6:6" s="4" customFormat="1" ht="15">
      <c r="F922" s="48"/>
    </row>
    <row r="923" spans="6:6" s="4" customFormat="1" ht="15">
      <c r="F923" s="48"/>
    </row>
    <row r="924" spans="6:6" s="4" customFormat="1" ht="15">
      <c r="F924" s="48"/>
    </row>
    <row r="925" spans="6:6" s="4" customFormat="1" ht="15">
      <c r="F925" s="48"/>
    </row>
    <row r="926" spans="6:6" s="4" customFormat="1" ht="15">
      <c r="F926" s="48"/>
    </row>
    <row r="927" spans="6:6" s="4" customFormat="1" ht="15">
      <c r="F927" s="48"/>
    </row>
    <row r="928" spans="6:6" s="4" customFormat="1" ht="15">
      <c r="F928" s="48"/>
    </row>
    <row r="929" spans="6:6" s="4" customFormat="1" ht="15">
      <c r="F929" s="48"/>
    </row>
    <row r="930" spans="6:6" s="4" customFormat="1" ht="15">
      <c r="F930" s="48"/>
    </row>
    <row r="931" spans="6:6" s="4" customFormat="1" ht="15">
      <c r="F931" s="48"/>
    </row>
    <row r="932" spans="6:6" s="4" customFormat="1" ht="15">
      <c r="F932" s="48"/>
    </row>
    <row r="933" spans="6:6" s="4" customFormat="1" ht="15">
      <c r="F933" s="48"/>
    </row>
    <row r="934" spans="6:6" s="4" customFormat="1" ht="15">
      <c r="F934" s="48"/>
    </row>
    <row r="935" spans="6:6" s="4" customFormat="1" ht="15">
      <c r="F935" s="48"/>
    </row>
    <row r="936" spans="6:6" s="4" customFormat="1" ht="15">
      <c r="F936" s="48"/>
    </row>
    <row r="937" spans="6:6" s="4" customFormat="1" ht="15">
      <c r="F937" s="48"/>
    </row>
    <row r="938" spans="6:6" s="4" customFormat="1" ht="15">
      <c r="F938" s="48"/>
    </row>
    <row r="939" spans="6:6" s="4" customFormat="1" ht="15">
      <c r="F939" s="48"/>
    </row>
    <row r="940" spans="6:6" s="4" customFormat="1" ht="15">
      <c r="F940" s="48"/>
    </row>
    <row r="941" spans="6:6" s="4" customFormat="1" ht="15">
      <c r="F941" s="48"/>
    </row>
    <row r="942" spans="6:6" s="4" customFormat="1" ht="15">
      <c r="F942" s="48"/>
    </row>
    <row r="943" spans="6:6" s="4" customFormat="1" ht="15">
      <c r="F943" s="48"/>
    </row>
    <row r="944" spans="6:6" s="4" customFormat="1" ht="15">
      <c r="F944" s="48"/>
    </row>
    <row r="945" spans="6:6" s="4" customFormat="1" ht="15">
      <c r="F945" s="48"/>
    </row>
    <row r="946" spans="6:6" s="4" customFormat="1" ht="15">
      <c r="F946" s="48"/>
    </row>
    <row r="947" spans="6:6" s="4" customFormat="1" ht="15">
      <c r="F947" s="48"/>
    </row>
    <row r="948" spans="6:6" s="4" customFormat="1" ht="15">
      <c r="F948" s="48"/>
    </row>
    <row r="949" spans="6:6" s="4" customFormat="1" ht="15">
      <c r="F949" s="48"/>
    </row>
    <row r="950" spans="6:6" s="4" customFormat="1" ht="15">
      <c r="F950" s="48"/>
    </row>
    <row r="951" spans="6:6" s="4" customFormat="1" ht="15">
      <c r="F951" s="48"/>
    </row>
    <row r="952" spans="6:6" s="4" customFormat="1" ht="15">
      <c r="F952" s="48"/>
    </row>
    <row r="953" spans="6:6" s="4" customFormat="1" ht="15">
      <c r="F953" s="48"/>
    </row>
    <row r="954" spans="6:6" s="4" customFormat="1" ht="15">
      <c r="F954" s="48"/>
    </row>
    <row r="955" spans="6:6" s="4" customFormat="1" ht="15">
      <c r="F955" s="48"/>
    </row>
    <row r="956" spans="6:6" s="4" customFormat="1" ht="15">
      <c r="F956" s="48"/>
    </row>
    <row r="957" spans="6:6" s="4" customFormat="1" ht="15">
      <c r="F957" s="48"/>
    </row>
    <row r="958" spans="6:6" s="4" customFormat="1" ht="15">
      <c r="F958" s="48"/>
    </row>
    <row r="959" spans="6:6" s="4" customFormat="1" ht="15">
      <c r="F959" s="48"/>
    </row>
    <row r="960" spans="6:6" s="4" customFormat="1" ht="15">
      <c r="F960" s="48"/>
    </row>
    <row r="961" spans="6:6" s="4" customFormat="1" ht="15">
      <c r="F961" s="48"/>
    </row>
    <row r="962" spans="6:6" s="4" customFormat="1" ht="15">
      <c r="F962" s="48"/>
    </row>
    <row r="963" spans="6:6" s="4" customFormat="1" ht="15">
      <c r="F963" s="48"/>
    </row>
    <row r="964" spans="6:6" s="4" customFormat="1" ht="15">
      <c r="F964" s="48"/>
    </row>
    <row r="965" spans="6:6" s="4" customFormat="1" ht="15">
      <c r="F965" s="48"/>
    </row>
    <row r="966" spans="6:6" s="4" customFormat="1" ht="15">
      <c r="F966" s="48"/>
    </row>
    <row r="967" spans="6:6" s="4" customFormat="1" ht="15">
      <c r="F967" s="48"/>
    </row>
    <row r="968" spans="6:6" s="4" customFormat="1" ht="15">
      <c r="F968" s="48"/>
    </row>
    <row r="969" spans="6:6" s="4" customFormat="1" ht="15">
      <c r="F969" s="48"/>
    </row>
    <row r="970" spans="6:6" s="4" customFormat="1" ht="15">
      <c r="F970" s="48"/>
    </row>
    <row r="971" spans="6:6" s="4" customFormat="1" ht="15">
      <c r="F971" s="48"/>
    </row>
    <row r="972" spans="6:6" s="4" customFormat="1" ht="15">
      <c r="F972" s="48"/>
    </row>
    <row r="973" spans="6:6" s="4" customFormat="1" ht="15">
      <c r="F973" s="48"/>
    </row>
    <row r="974" spans="6:6" s="4" customFormat="1" ht="15">
      <c r="F974" s="48"/>
    </row>
    <row r="975" spans="6:6" s="4" customFormat="1" ht="15">
      <c r="F975" s="48"/>
    </row>
    <row r="976" spans="6:6" s="4" customFormat="1" ht="15">
      <c r="F976" s="48"/>
    </row>
    <row r="977" spans="6:6" s="4" customFormat="1" ht="15">
      <c r="F977" s="48"/>
    </row>
    <row r="978" spans="6:6" s="4" customFormat="1" ht="15">
      <c r="F978" s="48"/>
    </row>
    <row r="979" spans="6:6" s="4" customFormat="1" ht="15">
      <c r="F979" s="48"/>
    </row>
    <row r="980" spans="6:6" s="4" customFormat="1" ht="15">
      <c r="F980" s="48"/>
    </row>
    <row r="981" spans="6:6" s="4" customFormat="1" ht="15">
      <c r="F981" s="48"/>
    </row>
    <row r="982" spans="6:6" s="4" customFormat="1" ht="15">
      <c r="F982" s="48"/>
    </row>
    <row r="983" spans="6:6" s="4" customFormat="1" ht="15">
      <c r="F983" s="48"/>
    </row>
    <row r="984" spans="6:6" s="4" customFormat="1" ht="15">
      <c r="F984" s="48"/>
    </row>
    <row r="985" spans="6:6" s="4" customFormat="1" ht="15">
      <c r="F985" s="48"/>
    </row>
    <row r="986" spans="6:6" s="4" customFormat="1" ht="15">
      <c r="F986" s="48"/>
    </row>
    <row r="987" spans="6:6" s="4" customFormat="1" ht="15">
      <c r="F987" s="48"/>
    </row>
    <row r="988" spans="6:6" s="4" customFormat="1" ht="15">
      <c r="F988" s="48"/>
    </row>
    <row r="989" spans="6:6" s="4" customFormat="1" ht="15">
      <c r="F989" s="48"/>
    </row>
    <row r="990" spans="6:6" s="4" customFormat="1" ht="15">
      <c r="F990" s="48"/>
    </row>
    <row r="991" spans="6:6" s="4" customFormat="1" ht="15">
      <c r="F991" s="48"/>
    </row>
    <row r="992" spans="6:6" s="4" customFormat="1" ht="15">
      <c r="F992" s="48"/>
    </row>
    <row r="993" spans="6:6" s="4" customFormat="1" ht="15">
      <c r="F993" s="48"/>
    </row>
    <row r="994" spans="6:6" s="4" customFormat="1" ht="15">
      <c r="F994" s="48"/>
    </row>
    <row r="995" spans="6:6" s="4" customFormat="1" ht="15">
      <c r="F995" s="48"/>
    </row>
    <row r="996" spans="6:6" s="4" customFormat="1" ht="15">
      <c r="F996" s="48"/>
    </row>
    <row r="997" spans="6:6" s="4" customFormat="1" ht="15">
      <c r="F997" s="48"/>
    </row>
    <row r="998" spans="6:6" s="4" customFormat="1" ht="15">
      <c r="F998" s="48"/>
    </row>
    <row r="999" spans="6:6" s="4" customFormat="1" ht="15">
      <c r="F999" s="48"/>
    </row>
    <row r="1000" spans="6:6" s="4" customFormat="1" ht="15">
      <c r="F1000" s="48"/>
    </row>
    <row r="1001" spans="6:6" s="4" customFormat="1" ht="15">
      <c r="F1001" s="48"/>
    </row>
    <row r="1002" spans="6:6" s="4" customFormat="1" ht="15">
      <c r="F1002" s="48"/>
    </row>
    <row r="1003" spans="6:6" s="4" customFormat="1" ht="15">
      <c r="F1003" s="48"/>
    </row>
    <row r="1004" spans="6:6" s="4" customFormat="1" ht="15">
      <c r="F1004" s="48"/>
    </row>
    <row r="1005" spans="6:6" s="4" customFormat="1" ht="15">
      <c r="F1005" s="48"/>
    </row>
    <row r="1006" spans="6:6" s="4" customFormat="1" ht="15">
      <c r="F1006" s="48"/>
    </row>
    <row r="1007" spans="6:6" s="4" customFormat="1" ht="15">
      <c r="F1007" s="48"/>
    </row>
    <row r="1008" spans="6:6" s="4" customFormat="1" ht="15">
      <c r="F1008" s="48"/>
    </row>
    <row r="1009" spans="3:6" s="4" customFormat="1" ht="15">
      <c r="F1009" s="48"/>
    </row>
    <row r="1010" spans="3:6" ht="15">
      <c r="C1010" s="4"/>
    </row>
    <row r="1011" spans="3:6" ht="15">
      <c r="C1011" s="4"/>
    </row>
    <row r="1012" spans="3:6" ht="15">
      <c r="C1012" s="4"/>
    </row>
    <row r="1013" spans="3:6" ht="15">
      <c r="C1013" s="4"/>
    </row>
    <row r="1014" spans="3:6" ht="15">
      <c r="C1014" s="4"/>
    </row>
    <row r="1015" spans="3:6" ht="15">
      <c r="C1015" s="4"/>
    </row>
    <row r="1016" spans="3:6" ht="15">
      <c r="C1016" s="4"/>
    </row>
    <row r="1017" spans="3:6" ht="15">
      <c r="C1017" s="4"/>
    </row>
    <row r="1018" spans="3:6" ht="15">
      <c r="C1018" s="4"/>
    </row>
    <row r="1019" spans="3:6" ht="15">
      <c r="C1019" s="4"/>
    </row>
    <row r="1020" spans="3:6" ht="15">
      <c r="C1020" s="4"/>
    </row>
    <row r="1021" spans="3:6" ht="15">
      <c r="C1021" s="4"/>
    </row>
    <row r="1022" spans="3:6" ht="15">
      <c r="C1022" s="4"/>
    </row>
    <row r="1023" spans="3:6" ht="15">
      <c r="C1023" s="4"/>
    </row>
    <row r="1024" spans="3:6" ht="15">
      <c r="C1024" s="4"/>
    </row>
    <row r="1025" spans="3:3" ht="15">
      <c r="C1025" s="4"/>
    </row>
    <row r="1026" spans="3:3" ht="15">
      <c r="C1026" s="4"/>
    </row>
    <row r="1027" spans="3:3" ht="15">
      <c r="C1027" s="4"/>
    </row>
    <row r="1028" spans="3:3" ht="15">
      <c r="C1028" s="4"/>
    </row>
    <row r="1029" spans="3:3" ht="15">
      <c r="C1029" s="4"/>
    </row>
    <row r="1030" spans="3:3" ht="15">
      <c r="C1030" s="4"/>
    </row>
    <row r="1031" spans="3:3" ht="15">
      <c r="C1031" s="4"/>
    </row>
    <row r="1032" spans="3:3" ht="15">
      <c r="C1032" s="4"/>
    </row>
    <row r="1033" spans="3:3" ht="15">
      <c r="C1033" s="4"/>
    </row>
    <row r="1034" spans="3:3" ht="15">
      <c r="C1034" s="4"/>
    </row>
    <row r="1035" spans="3:3" ht="15">
      <c r="C1035" s="4"/>
    </row>
    <row r="1036" spans="3:3" ht="15">
      <c r="C1036" s="4"/>
    </row>
    <row r="1037" spans="3:3" ht="15">
      <c r="C1037" s="4"/>
    </row>
    <row r="1038" spans="3:3" ht="15">
      <c r="C1038" s="4"/>
    </row>
    <row r="1039" spans="3:3" ht="15">
      <c r="C1039" s="4"/>
    </row>
    <row r="1040" spans="3:3" ht="15">
      <c r="C1040" s="4"/>
    </row>
    <row r="1041" spans="3:3" ht="15">
      <c r="C1041" s="4"/>
    </row>
    <row r="1042" spans="3:3" ht="15">
      <c r="C1042" s="4"/>
    </row>
    <row r="1043" spans="3:3" ht="15">
      <c r="C1043" s="4"/>
    </row>
    <row r="1044" spans="3:3" ht="15">
      <c r="C1044" s="4"/>
    </row>
    <row r="1045" spans="3:3" ht="15">
      <c r="C1045" s="4"/>
    </row>
    <row r="1046" spans="3:3" ht="15">
      <c r="C1046" s="4"/>
    </row>
    <row r="1047" spans="3:3" ht="15">
      <c r="C1047" s="4"/>
    </row>
    <row r="1048" spans="3:3" ht="15">
      <c r="C1048" s="4"/>
    </row>
    <row r="1049" spans="3:3" ht="15">
      <c r="C1049" s="4"/>
    </row>
    <row r="1050" spans="3:3" ht="15">
      <c r="C1050" s="4"/>
    </row>
    <row r="1051" spans="3:3" ht="15">
      <c r="C1051" s="4"/>
    </row>
    <row r="1052" spans="3:3" ht="15">
      <c r="C1052" s="4"/>
    </row>
    <row r="1053" spans="3:3" ht="15">
      <c r="C1053" s="4"/>
    </row>
    <row r="1054" spans="3:3" ht="15">
      <c r="C1054" s="4"/>
    </row>
    <row r="1055" spans="3:3" ht="15">
      <c r="C1055" s="4"/>
    </row>
    <row r="1056" spans="3:3" ht="15">
      <c r="C1056" s="4"/>
    </row>
    <row r="1057" spans="3:3" ht="15">
      <c r="C1057" s="4"/>
    </row>
    <row r="1058" spans="3:3" ht="15">
      <c r="C1058" s="4"/>
    </row>
    <row r="1059" spans="3:3" ht="15">
      <c r="C1059" s="4"/>
    </row>
    <row r="1060" spans="3:3" ht="15">
      <c r="C1060" s="4"/>
    </row>
    <row r="1061" spans="3:3" ht="15">
      <c r="C1061" s="4"/>
    </row>
    <row r="1062" spans="3:3" ht="15">
      <c r="C1062" s="4"/>
    </row>
    <row r="1063" spans="3:3" ht="15">
      <c r="C1063" s="4"/>
    </row>
    <row r="1064" spans="3:3" ht="15">
      <c r="C1064" s="4"/>
    </row>
    <row r="1065" spans="3:3" ht="15">
      <c r="C1065" s="4"/>
    </row>
    <row r="1066" spans="3:3" ht="15">
      <c r="C1066" s="4"/>
    </row>
    <row r="1067" spans="3:3" ht="15">
      <c r="C1067" s="4"/>
    </row>
    <row r="1068" spans="3:3" ht="15">
      <c r="C1068" s="4"/>
    </row>
    <row r="1069" spans="3:3" ht="15">
      <c r="C1069" s="4"/>
    </row>
    <row r="1070" spans="3:3" ht="15">
      <c r="C1070" s="4"/>
    </row>
    <row r="1071" spans="3:3" ht="15">
      <c r="C1071" s="4"/>
    </row>
    <row r="1072" spans="3:3" ht="15">
      <c r="C1072" s="4"/>
    </row>
    <row r="1073" spans="3:3" ht="15">
      <c r="C1073" s="4"/>
    </row>
    <row r="1074" spans="3:3" ht="15">
      <c r="C1074" s="4"/>
    </row>
    <row r="1075" spans="3:3" ht="15">
      <c r="C1075" s="4"/>
    </row>
    <row r="1076" spans="3:3" ht="15">
      <c r="C1076" s="4"/>
    </row>
    <row r="1077" spans="3:3" ht="15">
      <c r="C1077" s="4"/>
    </row>
    <row r="1078" spans="3:3" ht="15">
      <c r="C1078" s="4"/>
    </row>
    <row r="1079" spans="3:3" ht="15">
      <c r="C1079" s="4"/>
    </row>
    <row r="1080" spans="3:3" ht="15">
      <c r="C1080" s="4"/>
    </row>
    <row r="1081" spans="3:3" ht="15">
      <c r="C1081" s="4"/>
    </row>
    <row r="1082" spans="3:3" ht="15">
      <c r="C1082" s="4"/>
    </row>
    <row r="1083" spans="3:3" ht="15">
      <c r="C1083" s="4"/>
    </row>
    <row r="1084" spans="3:3" ht="15">
      <c r="C1084" s="4"/>
    </row>
    <row r="1085" spans="3:3" ht="15">
      <c r="C1085" s="4"/>
    </row>
    <row r="1086" spans="3:3" ht="15">
      <c r="C1086" s="4"/>
    </row>
    <row r="1087" spans="3:3" ht="15">
      <c r="C1087" s="4"/>
    </row>
    <row r="1088" spans="3:3" ht="15">
      <c r="C1088" s="4"/>
    </row>
    <row r="1089" spans="3:3" ht="15">
      <c r="C1089" s="4"/>
    </row>
    <row r="1090" spans="3:3" ht="15">
      <c r="C1090" s="4"/>
    </row>
    <row r="1091" spans="3:3" ht="15">
      <c r="C1091" s="4"/>
    </row>
    <row r="1092" spans="3:3" ht="15">
      <c r="C1092" s="4"/>
    </row>
    <row r="1093" spans="3:3" ht="15">
      <c r="C1093" s="4"/>
    </row>
    <row r="1094" spans="3:3" ht="15">
      <c r="C1094" s="4"/>
    </row>
    <row r="1095" spans="3:3" ht="15">
      <c r="C1095" s="4"/>
    </row>
    <row r="1096" spans="3:3" ht="15">
      <c r="C1096" s="4"/>
    </row>
    <row r="1097" spans="3:3" ht="15">
      <c r="C1097" s="4"/>
    </row>
    <row r="1098" spans="3:3" ht="15">
      <c r="C1098" s="4"/>
    </row>
    <row r="1099" spans="3:3" ht="15">
      <c r="C1099" s="4"/>
    </row>
    <row r="1100" spans="3:3" ht="15">
      <c r="C1100" s="4"/>
    </row>
    <row r="1101" spans="3:3" ht="15">
      <c r="C1101" s="4"/>
    </row>
    <row r="1102" spans="3:3" ht="15">
      <c r="C1102" s="4"/>
    </row>
    <row r="1103" spans="3:3" ht="15">
      <c r="C1103" s="4"/>
    </row>
    <row r="1104" spans="3:3" ht="15">
      <c r="C1104" s="4"/>
    </row>
    <row r="1105" spans="3:3" ht="15">
      <c r="C1105" s="4"/>
    </row>
    <row r="1106" spans="3:3" ht="15">
      <c r="C1106" s="4"/>
    </row>
    <row r="1107" spans="3:3" ht="15">
      <c r="C1107" s="4"/>
    </row>
    <row r="1108" spans="3:3" ht="15">
      <c r="C1108" s="4"/>
    </row>
    <row r="1109" spans="3:3" ht="15">
      <c r="C1109" s="4"/>
    </row>
    <row r="1110" spans="3:3" ht="15">
      <c r="C1110" s="4"/>
    </row>
    <row r="1111" spans="3:3" ht="15">
      <c r="C1111" s="4"/>
    </row>
    <row r="1112" spans="3:3" ht="15">
      <c r="C1112" s="4"/>
    </row>
    <row r="1113" spans="3:3" ht="15">
      <c r="C1113" s="4"/>
    </row>
    <row r="1114" spans="3:3" ht="15">
      <c r="C1114" s="4"/>
    </row>
    <row r="1115" spans="3:3" ht="15">
      <c r="C1115" s="4"/>
    </row>
    <row r="1116" spans="3:3" ht="15">
      <c r="C1116" s="4"/>
    </row>
    <row r="1117" spans="3:3" ht="15">
      <c r="C1117" s="4"/>
    </row>
    <row r="1118" spans="3:3" ht="15">
      <c r="C1118" s="4"/>
    </row>
    <row r="1119" spans="3:3" ht="15">
      <c r="C1119" s="4"/>
    </row>
    <row r="1120" spans="3:3" ht="15">
      <c r="C1120" s="4"/>
    </row>
    <row r="1121" spans="3:3" ht="15">
      <c r="C1121" s="4"/>
    </row>
    <row r="1122" spans="3:3" ht="15">
      <c r="C1122" s="4"/>
    </row>
    <row r="1123" spans="3:3" ht="15">
      <c r="C1123" s="4"/>
    </row>
    <row r="1124" spans="3:3" ht="15">
      <c r="C1124" s="4"/>
    </row>
    <row r="1125" spans="3:3" ht="15">
      <c r="C1125" s="4"/>
    </row>
    <row r="1126" spans="3:3" ht="15">
      <c r="C1126" s="4"/>
    </row>
    <row r="1127" spans="3:3" ht="15">
      <c r="C1127" s="4"/>
    </row>
    <row r="1128" spans="3:3" ht="15">
      <c r="C1128" s="4"/>
    </row>
    <row r="1129" spans="3:3" ht="15">
      <c r="C1129" s="4"/>
    </row>
    <row r="1130" spans="3:3" ht="15">
      <c r="C1130" s="4"/>
    </row>
    <row r="1131" spans="3:3" ht="15">
      <c r="C1131" s="4"/>
    </row>
    <row r="1132" spans="3:3" ht="15">
      <c r="C1132" s="4"/>
    </row>
    <row r="1133" spans="3:3" ht="15">
      <c r="C1133" s="4"/>
    </row>
    <row r="1134" spans="3:3" ht="15">
      <c r="C1134" s="4"/>
    </row>
    <row r="1135" spans="3:3" ht="15">
      <c r="C1135" s="4"/>
    </row>
    <row r="1136" spans="3:3" ht="15">
      <c r="C1136" s="4"/>
    </row>
    <row r="1137" spans="3:3" ht="15">
      <c r="C1137" s="4"/>
    </row>
    <row r="1138" spans="3:3" ht="15">
      <c r="C1138" s="4"/>
    </row>
    <row r="1139" spans="3:3" ht="15">
      <c r="C1139" s="4"/>
    </row>
    <row r="1140" spans="3:3" ht="15">
      <c r="C1140" s="4"/>
    </row>
    <row r="1141" spans="3:3" ht="15">
      <c r="C1141" s="4"/>
    </row>
    <row r="1142" spans="3:3" ht="15">
      <c r="C1142" s="4"/>
    </row>
    <row r="1143" spans="3:3" ht="15">
      <c r="C1143" s="4"/>
    </row>
    <row r="1144" spans="3:3" ht="15">
      <c r="C1144" s="4"/>
    </row>
    <row r="1145" spans="3:3" ht="15">
      <c r="C1145" s="4"/>
    </row>
    <row r="1146" spans="3:3" ht="15">
      <c r="C1146" s="4"/>
    </row>
    <row r="1147" spans="3:3" ht="15">
      <c r="C1147" s="4"/>
    </row>
    <row r="1148" spans="3:3" ht="15">
      <c r="C1148" s="4"/>
    </row>
    <row r="1149" spans="3:3" ht="15">
      <c r="C1149" s="4"/>
    </row>
    <row r="1150" spans="3:3" ht="15">
      <c r="C1150" s="4"/>
    </row>
    <row r="1151" spans="3:3" ht="15">
      <c r="C1151" s="4"/>
    </row>
    <row r="1152" spans="3:3" ht="15">
      <c r="C1152" s="4"/>
    </row>
    <row r="1153" spans="3:3" ht="15">
      <c r="C1153" s="4"/>
    </row>
    <row r="1154" spans="3:3" ht="15">
      <c r="C1154" s="4"/>
    </row>
    <row r="1155" spans="3:3" ht="15">
      <c r="C1155" s="4"/>
    </row>
    <row r="1156" spans="3:3" ht="15">
      <c r="C1156" s="4"/>
    </row>
    <row r="1157" spans="3:3" ht="15">
      <c r="C1157" s="4"/>
    </row>
    <row r="1158" spans="3:3" ht="15">
      <c r="C1158" s="4"/>
    </row>
    <row r="1159" spans="3:3" ht="15">
      <c r="C1159" s="4"/>
    </row>
    <row r="1160" spans="3:3" ht="15">
      <c r="C1160" s="4"/>
    </row>
    <row r="1161" spans="3:3" ht="15">
      <c r="C1161" s="4"/>
    </row>
    <row r="1162" spans="3:3" ht="15">
      <c r="C1162" s="4"/>
    </row>
    <row r="1163" spans="3:3" ht="15">
      <c r="C1163" s="4"/>
    </row>
    <row r="1164" spans="3:3" ht="15">
      <c r="C1164" s="4"/>
    </row>
    <row r="1165" spans="3:3" ht="15">
      <c r="C1165" s="4"/>
    </row>
    <row r="1166" spans="3:3" ht="15">
      <c r="C1166" s="4"/>
    </row>
    <row r="1167" spans="3:3" ht="15">
      <c r="C1167" s="4"/>
    </row>
    <row r="1168" spans="3:3" ht="15">
      <c r="C1168" s="4"/>
    </row>
    <row r="1169" spans="3:3" ht="15">
      <c r="C1169" s="4"/>
    </row>
    <row r="1170" spans="3:3" ht="15">
      <c r="C1170" s="4"/>
    </row>
    <row r="1171" spans="3:3" ht="15">
      <c r="C1171" s="4"/>
    </row>
    <row r="1172" spans="3:3" ht="15">
      <c r="C1172" s="4"/>
    </row>
    <row r="1173" spans="3:3" ht="15">
      <c r="C1173" s="4"/>
    </row>
    <row r="1174" spans="3:3" ht="15">
      <c r="C1174" s="4"/>
    </row>
    <row r="1175" spans="3:3" ht="15">
      <c r="C1175" s="4"/>
    </row>
    <row r="1176" spans="3:3" ht="15">
      <c r="C1176" s="4"/>
    </row>
    <row r="1177" spans="3:3" ht="15">
      <c r="C1177" s="4"/>
    </row>
    <row r="1178" spans="3:3" ht="15">
      <c r="C1178" s="4"/>
    </row>
    <row r="1179" spans="3:3" ht="15">
      <c r="C1179" s="4"/>
    </row>
    <row r="1180" spans="3:3" ht="15">
      <c r="C1180" s="4"/>
    </row>
    <row r="1181" spans="3:3" ht="15">
      <c r="C1181" s="4"/>
    </row>
    <row r="1182" spans="3:3" ht="15">
      <c r="C1182" s="4"/>
    </row>
    <row r="1183" spans="3:3" ht="15">
      <c r="C1183" s="4"/>
    </row>
    <row r="1184" spans="3:3" ht="15">
      <c r="C1184" s="4"/>
    </row>
    <row r="1185" spans="3:3" ht="15">
      <c r="C1185" s="4"/>
    </row>
    <row r="1186" spans="3:3" ht="15">
      <c r="C1186" s="4"/>
    </row>
    <row r="1187" spans="3:3" ht="15">
      <c r="C1187" s="4"/>
    </row>
    <row r="1188" spans="3:3" ht="15">
      <c r="C1188" s="4"/>
    </row>
    <row r="1189" spans="3:3" ht="15">
      <c r="C1189" s="4"/>
    </row>
    <row r="1190" spans="3:3" ht="15">
      <c r="C1190" s="4"/>
    </row>
    <row r="1191" spans="3:3" ht="15">
      <c r="C1191" s="4"/>
    </row>
    <row r="1192" spans="3:3" ht="15">
      <c r="C1192" s="4"/>
    </row>
    <row r="1193" spans="3:3" ht="15">
      <c r="C1193" s="4"/>
    </row>
    <row r="1194" spans="3:3" ht="15">
      <c r="C1194" s="4"/>
    </row>
    <row r="1195" spans="3:3" ht="15">
      <c r="C1195" s="4"/>
    </row>
    <row r="1196" spans="3:3" ht="15">
      <c r="C1196" s="4"/>
    </row>
    <row r="1197" spans="3:3" ht="15">
      <c r="C1197" s="4"/>
    </row>
    <row r="1198" spans="3:3" ht="15">
      <c r="C1198" s="4"/>
    </row>
    <row r="1199" spans="3:3" ht="15">
      <c r="C1199" s="4"/>
    </row>
    <row r="1200" spans="3:3" ht="15">
      <c r="C1200" s="4"/>
    </row>
    <row r="1201" spans="3:3" ht="15">
      <c r="C1201" s="4"/>
    </row>
    <row r="1202" spans="3:3" ht="15">
      <c r="C1202" s="4"/>
    </row>
    <row r="1203" spans="3:3" ht="15">
      <c r="C1203" s="4"/>
    </row>
    <row r="1204" spans="3:3" ht="15">
      <c r="C1204" s="4"/>
    </row>
    <row r="1205" spans="3:3" ht="15">
      <c r="C1205" s="4"/>
    </row>
    <row r="1206" spans="3:3" ht="15">
      <c r="C1206" s="4"/>
    </row>
    <row r="1207" spans="3:3" ht="15">
      <c r="C1207" s="4"/>
    </row>
    <row r="1208" spans="3:3" ht="15">
      <c r="C1208" s="4"/>
    </row>
    <row r="1209" spans="3:3" ht="15">
      <c r="C1209" s="4"/>
    </row>
    <row r="1210" spans="3:3" ht="15">
      <c r="C1210" s="4"/>
    </row>
    <row r="1211" spans="3:3" ht="15">
      <c r="C1211" s="4"/>
    </row>
    <row r="1212" spans="3:3" ht="15">
      <c r="C1212" s="4"/>
    </row>
    <row r="1213" spans="3:3" ht="15">
      <c r="C1213" s="4"/>
    </row>
    <row r="1214" spans="3:3" ht="15">
      <c r="C1214" s="4"/>
    </row>
    <row r="1215" spans="3:3" ht="15">
      <c r="C1215" s="4"/>
    </row>
    <row r="1216" spans="3:3" ht="15">
      <c r="C1216" s="4"/>
    </row>
    <row r="1217" spans="3:3" ht="15">
      <c r="C1217" s="4"/>
    </row>
    <row r="1218" spans="3:3" ht="15">
      <c r="C1218" s="4"/>
    </row>
    <row r="1219" spans="3:3" ht="15">
      <c r="C1219" s="4"/>
    </row>
    <row r="1220" spans="3:3" ht="15">
      <c r="C1220" s="4"/>
    </row>
    <row r="1221" spans="3:3" ht="15">
      <c r="C1221" s="4"/>
    </row>
    <row r="1222" spans="3:3" ht="15">
      <c r="C1222" s="4"/>
    </row>
    <row r="1223" spans="3:3" ht="15">
      <c r="C1223" s="4"/>
    </row>
    <row r="1224" spans="3:3" ht="15">
      <c r="C1224" s="4"/>
    </row>
    <row r="1225" spans="3:3" ht="15">
      <c r="C1225" s="4"/>
    </row>
    <row r="1226" spans="3:3" ht="15">
      <c r="C1226" s="4"/>
    </row>
    <row r="1227" spans="3:3" ht="15">
      <c r="C1227" s="4"/>
    </row>
    <row r="1228" spans="3:3" ht="15">
      <c r="C1228" s="4"/>
    </row>
    <row r="1229" spans="3:3" ht="15">
      <c r="C1229" s="4"/>
    </row>
    <row r="1230" spans="3:3" ht="15">
      <c r="C1230" s="4"/>
    </row>
    <row r="1231" spans="3:3" ht="15">
      <c r="C1231" s="4"/>
    </row>
    <row r="1232" spans="3:3" ht="15">
      <c r="C1232" s="4"/>
    </row>
    <row r="1233" spans="3:3" ht="15">
      <c r="C1233" s="4"/>
    </row>
    <row r="1234" spans="3:3" ht="15">
      <c r="C1234" s="4"/>
    </row>
    <row r="1235" spans="3:3" ht="15">
      <c r="C1235" s="4"/>
    </row>
    <row r="1236" spans="3:3" ht="15">
      <c r="C1236" s="4"/>
    </row>
    <row r="1237" spans="3:3" ht="15">
      <c r="C1237" s="4"/>
    </row>
    <row r="1238" spans="3:3" ht="15">
      <c r="C1238" s="4"/>
    </row>
    <row r="1239" spans="3:3" ht="15">
      <c r="C1239" s="4"/>
    </row>
    <row r="1240" spans="3:3" ht="15">
      <c r="C1240" s="4"/>
    </row>
    <row r="1241" spans="3:3" ht="15">
      <c r="C1241" s="4"/>
    </row>
    <row r="1242" spans="3:3" ht="15">
      <c r="C1242" s="4"/>
    </row>
    <row r="1243" spans="3:3" ht="15">
      <c r="C1243" s="4"/>
    </row>
    <row r="1244" spans="3:3" ht="15">
      <c r="C1244" s="4"/>
    </row>
    <row r="1245" spans="3:3" ht="15">
      <c r="C1245" s="4"/>
    </row>
    <row r="1246" spans="3:3" ht="15">
      <c r="C1246" s="4"/>
    </row>
    <row r="1247" spans="3:3" ht="15">
      <c r="C1247" s="4"/>
    </row>
    <row r="1248" spans="3:3" ht="15">
      <c r="C1248" s="4"/>
    </row>
    <row r="1249" spans="3:3" ht="15">
      <c r="C1249" s="4"/>
    </row>
    <row r="1250" spans="3:3" ht="15">
      <c r="C1250" s="4"/>
    </row>
    <row r="1251" spans="3:3" ht="15">
      <c r="C1251" s="4"/>
    </row>
    <row r="1252" spans="3:3" ht="15">
      <c r="C1252" s="4"/>
    </row>
    <row r="1253" spans="3:3" ht="15">
      <c r="C1253" s="4"/>
    </row>
    <row r="1254" spans="3:3" ht="15">
      <c r="C1254" s="4"/>
    </row>
    <row r="1255" spans="3:3" ht="15">
      <c r="C1255" s="4"/>
    </row>
    <row r="1256" spans="3:3" ht="15">
      <c r="C1256" s="4"/>
    </row>
    <row r="1257" spans="3:3" ht="15">
      <c r="C1257" s="4"/>
    </row>
    <row r="1258" spans="3:3" ht="15">
      <c r="C1258" s="4"/>
    </row>
    <row r="1259" spans="3:3" ht="15">
      <c r="C1259" s="4"/>
    </row>
    <row r="1260" spans="3:3" ht="15">
      <c r="C1260" s="4"/>
    </row>
    <row r="1261" spans="3:3" ht="15">
      <c r="C1261" s="4"/>
    </row>
    <row r="1262" spans="3:3" ht="15">
      <c r="C1262" s="4"/>
    </row>
    <row r="1263" spans="3:3" ht="15">
      <c r="C1263" s="4"/>
    </row>
    <row r="1264" spans="3:3" ht="15">
      <c r="C1264" s="4"/>
    </row>
    <row r="1265" spans="3:3" ht="15">
      <c r="C1265" s="4"/>
    </row>
    <row r="1266" spans="3:3" ht="15">
      <c r="C1266" s="4"/>
    </row>
    <row r="1267" spans="3:3" ht="15">
      <c r="C1267" s="4"/>
    </row>
    <row r="1268" spans="3:3" ht="15">
      <c r="C1268" s="4"/>
    </row>
    <row r="1269" spans="3:3" ht="15">
      <c r="C1269" s="4"/>
    </row>
    <row r="1270" spans="3:3" ht="15">
      <c r="C1270" s="4"/>
    </row>
    <row r="1271" spans="3:3" ht="15">
      <c r="C1271" s="4"/>
    </row>
    <row r="1272" spans="3:3" ht="15">
      <c r="C1272" s="4"/>
    </row>
    <row r="1273" spans="3:3" ht="15">
      <c r="C1273" s="4"/>
    </row>
    <row r="1274" spans="3:3" ht="15">
      <c r="C1274" s="4"/>
    </row>
    <row r="1275" spans="3:3" ht="15">
      <c r="C1275" s="4"/>
    </row>
    <row r="1276" spans="3:3" ht="15">
      <c r="C1276" s="4"/>
    </row>
    <row r="1277" spans="3:3" ht="15">
      <c r="C1277" s="4"/>
    </row>
    <row r="1278" spans="3:3" ht="15">
      <c r="C1278" s="4"/>
    </row>
    <row r="1279" spans="3:3" ht="15">
      <c r="C1279" s="4"/>
    </row>
    <row r="1280" spans="3:3" ht="15">
      <c r="C1280" s="4"/>
    </row>
    <row r="1281" spans="3:3" ht="15">
      <c r="C1281" s="4"/>
    </row>
    <row r="1282" spans="3:3" ht="15">
      <c r="C1282" s="4"/>
    </row>
    <row r="1283" spans="3:3" ht="15">
      <c r="C1283" s="4"/>
    </row>
    <row r="1284" spans="3:3" ht="15">
      <c r="C1284" s="4"/>
    </row>
    <row r="1285" spans="3:3" ht="15">
      <c r="C1285" s="4"/>
    </row>
    <row r="1286" spans="3:3" ht="15">
      <c r="C1286" s="4"/>
    </row>
    <row r="1287" spans="3:3" ht="15">
      <c r="C1287" s="4"/>
    </row>
    <row r="1288" spans="3:3" ht="15">
      <c r="C1288" s="4"/>
    </row>
    <row r="1289" spans="3:3" ht="15">
      <c r="C1289" s="4"/>
    </row>
    <row r="1290" spans="3:3" ht="15">
      <c r="C1290" s="4"/>
    </row>
    <row r="1291" spans="3:3" ht="15">
      <c r="C1291" s="4"/>
    </row>
    <row r="1292" spans="3:3" ht="15">
      <c r="C1292" s="4"/>
    </row>
    <row r="1293" spans="3:3" ht="15">
      <c r="C1293" s="4"/>
    </row>
    <row r="1294" spans="3:3" ht="15">
      <c r="C1294" s="4"/>
    </row>
    <row r="1295" spans="3:3" ht="15">
      <c r="C1295" s="4"/>
    </row>
    <row r="1296" spans="3:3" ht="15">
      <c r="C1296" s="4"/>
    </row>
    <row r="1297" spans="3:3" ht="15">
      <c r="C1297" s="4"/>
    </row>
    <row r="1298" spans="3:3" ht="15">
      <c r="C1298" s="4"/>
    </row>
    <row r="1299" spans="3:3" ht="15">
      <c r="C1299" s="4"/>
    </row>
    <row r="1300" spans="3:3" ht="15">
      <c r="C1300" s="4"/>
    </row>
    <row r="1301" spans="3:3" ht="15">
      <c r="C1301" s="4"/>
    </row>
    <row r="1302" spans="3:3" ht="15">
      <c r="C1302" s="4"/>
    </row>
    <row r="1303" spans="3:3" ht="15">
      <c r="C1303" s="4"/>
    </row>
    <row r="1304" spans="3:3" ht="15">
      <c r="C1304" s="4"/>
    </row>
    <row r="1305" spans="3:3" ht="15">
      <c r="C1305" s="4"/>
    </row>
    <row r="1306" spans="3:3" ht="15">
      <c r="C1306" s="4"/>
    </row>
    <row r="1307" spans="3:3" ht="15">
      <c r="C1307" s="4"/>
    </row>
    <row r="1308" spans="3:3" ht="15">
      <c r="C1308" s="4"/>
    </row>
    <row r="1309" spans="3:3" ht="15">
      <c r="C1309" s="4"/>
    </row>
    <row r="1310" spans="3:3" ht="15">
      <c r="C1310" s="4"/>
    </row>
    <row r="1311" spans="3:3" ht="15">
      <c r="C1311" s="4"/>
    </row>
    <row r="1312" spans="3:3" ht="15">
      <c r="C1312" s="4"/>
    </row>
    <row r="1313" spans="3:3" ht="15">
      <c r="C1313" s="4"/>
    </row>
    <row r="1314" spans="3:3" ht="15">
      <c r="C1314" s="4"/>
    </row>
    <row r="1315" spans="3:3" ht="15">
      <c r="C1315" s="4"/>
    </row>
    <row r="1316" spans="3:3" ht="15">
      <c r="C1316" s="4"/>
    </row>
    <row r="1317" spans="3:3" ht="15">
      <c r="C1317" s="4"/>
    </row>
    <row r="1318" spans="3:3" ht="15">
      <c r="C1318" s="4"/>
    </row>
    <row r="1319" spans="3:3" ht="15">
      <c r="C1319" s="4"/>
    </row>
    <row r="1320" spans="3:3" ht="15">
      <c r="C1320" s="4"/>
    </row>
    <row r="1321" spans="3:3" ht="15">
      <c r="C1321" s="4"/>
    </row>
    <row r="1322" spans="3:3" ht="15">
      <c r="C1322" s="4"/>
    </row>
    <row r="1323" spans="3:3" ht="15">
      <c r="C1323" s="4"/>
    </row>
    <row r="1324" spans="3:3" ht="15">
      <c r="C1324" s="4"/>
    </row>
    <row r="1325" spans="3:3" ht="15">
      <c r="C1325" s="4"/>
    </row>
    <row r="1326" spans="3:3" ht="15">
      <c r="C1326" s="4"/>
    </row>
    <row r="1327" spans="3:3" ht="15">
      <c r="C1327" s="4"/>
    </row>
    <row r="1328" spans="3:3" ht="15">
      <c r="C1328" s="4"/>
    </row>
    <row r="1329" spans="3:3" ht="15">
      <c r="C1329" s="4"/>
    </row>
    <row r="1330" spans="3:3" ht="15">
      <c r="C1330" s="4"/>
    </row>
    <row r="1331" spans="3:3" ht="15">
      <c r="C1331" s="4"/>
    </row>
    <row r="1332" spans="3:3" ht="15">
      <c r="C1332" s="4"/>
    </row>
    <row r="1333" spans="3:3" ht="15">
      <c r="C1333" s="4"/>
    </row>
    <row r="1334" spans="3:3" ht="15">
      <c r="C1334" s="4"/>
    </row>
    <row r="1335" spans="3:3" ht="15">
      <c r="C1335" s="4"/>
    </row>
    <row r="1336" spans="3:3" ht="15">
      <c r="C1336" s="4"/>
    </row>
    <row r="1337" spans="3:3" ht="15">
      <c r="C1337" s="4"/>
    </row>
    <row r="1338" spans="3:3" ht="15">
      <c r="C1338" s="4"/>
    </row>
    <row r="1339" spans="3:3" ht="15">
      <c r="C1339" s="4"/>
    </row>
    <row r="1340" spans="3:3" ht="15">
      <c r="C1340" s="4"/>
    </row>
    <row r="1341" spans="3:3" ht="15">
      <c r="C1341" s="4"/>
    </row>
    <row r="1342" spans="3:3" ht="15">
      <c r="C1342" s="4"/>
    </row>
    <row r="1343" spans="3:3" ht="15">
      <c r="C1343" s="4"/>
    </row>
    <row r="1344" spans="3:3" ht="15">
      <c r="C1344" s="4"/>
    </row>
    <row r="1345" spans="3:3" ht="15">
      <c r="C1345" s="4"/>
    </row>
    <row r="1346" spans="3:3" ht="15">
      <c r="C1346" s="4"/>
    </row>
    <row r="1347" spans="3:3" ht="15">
      <c r="C1347" s="4"/>
    </row>
    <row r="1348" spans="3:3" ht="15">
      <c r="C1348" s="4"/>
    </row>
    <row r="1349" spans="3:3" ht="15">
      <c r="C1349" s="4"/>
    </row>
    <row r="1350" spans="3:3" ht="15">
      <c r="C1350" s="4"/>
    </row>
    <row r="1351" spans="3:3" ht="15">
      <c r="C1351" s="4"/>
    </row>
    <row r="1352" spans="3:3" ht="15">
      <c r="C1352" s="4"/>
    </row>
    <row r="1353" spans="3:3" ht="15">
      <c r="C1353" s="4"/>
    </row>
    <row r="1354" spans="3:3" ht="15">
      <c r="C1354" s="4"/>
    </row>
    <row r="1355" spans="3:3" ht="15">
      <c r="C1355" s="4"/>
    </row>
    <row r="1356" spans="3:3" ht="15">
      <c r="C1356" s="4"/>
    </row>
    <row r="1357" spans="3:3" ht="15">
      <c r="C1357" s="4"/>
    </row>
    <row r="1358" spans="3:3" ht="15">
      <c r="C1358" s="4"/>
    </row>
    <row r="1359" spans="3:3" ht="15">
      <c r="C1359" s="4"/>
    </row>
    <row r="1360" spans="3:3" ht="15">
      <c r="C1360" s="4"/>
    </row>
    <row r="1361" spans="3:3" ht="15">
      <c r="C1361" s="4"/>
    </row>
    <row r="1362" spans="3:3" ht="15">
      <c r="C1362" s="4"/>
    </row>
    <row r="1363" spans="3:3" ht="15">
      <c r="C1363" s="4"/>
    </row>
    <row r="1364" spans="3:3" ht="15">
      <c r="C1364" s="4"/>
    </row>
    <row r="1365" spans="3:3" ht="15">
      <c r="C1365" s="4"/>
    </row>
    <row r="1366" spans="3:3" ht="15">
      <c r="C1366" s="4"/>
    </row>
    <row r="1367" spans="3:3" ht="15">
      <c r="C1367" s="4"/>
    </row>
    <row r="1368" spans="3:3" ht="15">
      <c r="C1368" s="4"/>
    </row>
    <row r="1369" spans="3:3" ht="15">
      <c r="C1369" s="4"/>
    </row>
    <row r="1370" spans="3:3" ht="15">
      <c r="C1370" s="4"/>
    </row>
    <row r="1371" spans="3:3" ht="15">
      <c r="C1371" s="4"/>
    </row>
    <row r="1372" spans="3:3" ht="15">
      <c r="C1372" s="4"/>
    </row>
    <row r="1373" spans="3:3" ht="15">
      <c r="C1373" s="4"/>
    </row>
    <row r="1374" spans="3:3" ht="15">
      <c r="C1374" s="4"/>
    </row>
    <row r="1375" spans="3:3" ht="15">
      <c r="C1375" s="4"/>
    </row>
    <row r="1376" spans="3:3" ht="15">
      <c r="C1376" s="4"/>
    </row>
    <row r="1377" spans="3:3" ht="15">
      <c r="C1377" s="4"/>
    </row>
    <row r="1378" spans="3:3" ht="15">
      <c r="C1378" s="4"/>
    </row>
    <row r="1379" spans="3:3" ht="15">
      <c r="C1379" s="4"/>
    </row>
    <row r="1380" spans="3:3" ht="15">
      <c r="C1380" s="4"/>
    </row>
    <row r="1381" spans="3:3" ht="15">
      <c r="C1381" s="4"/>
    </row>
    <row r="1382" spans="3:3" ht="15">
      <c r="C1382" s="4"/>
    </row>
    <row r="1383" spans="3:3" ht="15">
      <c r="C1383" s="4"/>
    </row>
    <row r="1384" spans="3:3" ht="15">
      <c r="C1384" s="4"/>
    </row>
    <row r="1385" spans="3:3" ht="15">
      <c r="C1385" s="4"/>
    </row>
    <row r="1386" spans="3:3" ht="15">
      <c r="C1386" s="4"/>
    </row>
    <row r="1387" spans="3:3" ht="15">
      <c r="C1387" s="4"/>
    </row>
    <row r="1388" spans="3:3" ht="15">
      <c r="C1388" s="4"/>
    </row>
    <row r="1389" spans="3:3" ht="15">
      <c r="C1389" s="4"/>
    </row>
    <row r="1390" spans="3:3" ht="15">
      <c r="C1390" s="4"/>
    </row>
    <row r="1391" spans="3:3" ht="15">
      <c r="C1391" s="4"/>
    </row>
    <row r="1392" spans="3:3" ht="15">
      <c r="C1392" s="4"/>
    </row>
    <row r="1393" spans="3:3" ht="15">
      <c r="C1393" s="4"/>
    </row>
    <row r="1394" spans="3:3" ht="15">
      <c r="C1394" s="4"/>
    </row>
    <row r="1395" spans="3:3" ht="15">
      <c r="C1395" s="4"/>
    </row>
    <row r="1396" spans="3:3" ht="15">
      <c r="C1396" s="4"/>
    </row>
    <row r="1397" spans="3:3" ht="15">
      <c r="C1397" s="4"/>
    </row>
    <row r="1398" spans="3:3" ht="15">
      <c r="C1398" s="4"/>
    </row>
    <row r="1399" spans="3:3" ht="15">
      <c r="C1399" s="4"/>
    </row>
    <row r="1400" spans="3:3" ht="15">
      <c r="C1400" s="4"/>
    </row>
    <row r="1401" spans="3:3" ht="15">
      <c r="C1401" s="4"/>
    </row>
    <row r="1402" spans="3:3" ht="15">
      <c r="C1402" s="4"/>
    </row>
    <row r="1403" spans="3:3" ht="15">
      <c r="C1403" s="4"/>
    </row>
    <row r="1404" spans="3:3" ht="15">
      <c r="C1404" s="4"/>
    </row>
    <row r="1405" spans="3:3" ht="15">
      <c r="C1405" s="4"/>
    </row>
    <row r="1406" spans="3:3" ht="15">
      <c r="C1406" s="4"/>
    </row>
    <row r="1407" spans="3:3" ht="15">
      <c r="C1407" s="4"/>
    </row>
    <row r="1408" spans="3:3" ht="15">
      <c r="C1408" s="4"/>
    </row>
    <row r="1409" spans="3:3" ht="15">
      <c r="C1409" s="4"/>
    </row>
    <row r="1410" spans="3:3" ht="15">
      <c r="C1410" s="4"/>
    </row>
    <row r="1411" spans="3:3" ht="15">
      <c r="C1411" s="4"/>
    </row>
    <row r="1412" spans="3:3" ht="15">
      <c r="C1412" s="4"/>
    </row>
    <row r="1413" spans="3:3" ht="15">
      <c r="C1413" s="4"/>
    </row>
    <row r="1414" spans="3:3" ht="15">
      <c r="C1414" s="4"/>
    </row>
    <row r="1415" spans="3:3" ht="15">
      <c r="C1415" s="4"/>
    </row>
    <row r="1416" spans="3:3" ht="15">
      <c r="C1416" s="4"/>
    </row>
    <row r="1417" spans="3:3" ht="15">
      <c r="C1417" s="4"/>
    </row>
    <row r="1418" spans="3:3" ht="15">
      <c r="C1418" s="4"/>
    </row>
    <row r="1419" spans="3:3" ht="15">
      <c r="C1419" s="4"/>
    </row>
    <row r="1420" spans="3:3" ht="15">
      <c r="C1420" s="4"/>
    </row>
    <row r="1421" spans="3:3" ht="15">
      <c r="C1421" s="4"/>
    </row>
    <row r="1422" spans="3:3" ht="15">
      <c r="C1422" s="4"/>
    </row>
    <row r="1423" spans="3:3" ht="15">
      <c r="C1423" s="4"/>
    </row>
    <row r="1424" spans="3:3" ht="15">
      <c r="C1424" s="4"/>
    </row>
    <row r="1425" spans="3:3" ht="15">
      <c r="C1425" s="4"/>
    </row>
    <row r="1426" spans="3:3" ht="15">
      <c r="C1426" s="4"/>
    </row>
    <row r="1427" spans="3:3" ht="15">
      <c r="C1427" s="4"/>
    </row>
    <row r="1428" spans="3:3" ht="15">
      <c r="C1428" s="4"/>
    </row>
    <row r="1429" spans="3:3" ht="15">
      <c r="C1429" s="4"/>
    </row>
    <row r="1430" spans="3:3" ht="15">
      <c r="C1430" s="4"/>
    </row>
    <row r="1431" spans="3:3" ht="15">
      <c r="C1431" s="4"/>
    </row>
    <row r="1432" spans="3:3" ht="15">
      <c r="C1432" s="4"/>
    </row>
    <row r="1433" spans="3:3" ht="15">
      <c r="C1433" s="4"/>
    </row>
    <row r="1434" spans="3:3" ht="15">
      <c r="C1434" s="4"/>
    </row>
    <row r="1435" spans="3:3" ht="15">
      <c r="C1435" s="4"/>
    </row>
    <row r="1436" spans="3:3" ht="15">
      <c r="C1436" s="4"/>
    </row>
    <row r="1437" spans="3:3" ht="15">
      <c r="C1437" s="4"/>
    </row>
    <row r="1438" spans="3:3" ht="15">
      <c r="C1438" s="4"/>
    </row>
    <row r="1439" spans="3:3" ht="15">
      <c r="C1439" s="4"/>
    </row>
    <row r="1440" spans="3:3" ht="15">
      <c r="C1440" s="4"/>
    </row>
    <row r="1441" spans="3:3" ht="15">
      <c r="C1441" s="4"/>
    </row>
    <row r="1442" spans="3:3" ht="15">
      <c r="C1442" s="4"/>
    </row>
    <row r="1443" spans="3:3" ht="15">
      <c r="C1443" s="4"/>
    </row>
    <row r="1444" spans="3:3" ht="15">
      <c r="C1444" s="4"/>
    </row>
    <row r="1445" spans="3:3" ht="15">
      <c r="C1445" s="4"/>
    </row>
    <row r="1446" spans="3:3" ht="15">
      <c r="C1446" s="4"/>
    </row>
    <row r="1447" spans="3:3" ht="15">
      <c r="C1447" s="4"/>
    </row>
    <row r="1448" spans="3:3" ht="15">
      <c r="C1448" s="4"/>
    </row>
    <row r="1449" spans="3:3" ht="15">
      <c r="C1449" s="4"/>
    </row>
    <row r="1450" spans="3:3" ht="15">
      <c r="C1450" s="4"/>
    </row>
    <row r="1451" spans="3:3" ht="15">
      <c r="C1451" s="4"/>
    </row>
    <row r="1452" spans="3:3" ht="15">
      <c r="C1452" s="4"/>
    </row>
    <row r="1453" spans="3:3" ht="15">
      <c r="C1453" s="4"/>
    </row>
    <row r="1454" spans="3:3" ht="15">
      <c r="C1454" s="4"/>
    </row>
    <row r="1455" spans="3:3" ht="15">
      <c r="C1455" s="4"/>
    </row>
    <row r="1456" spans="3:3" ht="15">
      <c r="C1456" s="4"/>
    </row>
    <row r="1457" spans="3:3" ht="15">
      <c r="C1457" s="4"/>
    </row>
    <row r="1458" spans="3:3" ht="15">
      <c r="C1458" s="4"/>
    </row>
    <row r="1459" spans="3:3" ht="15">
      <c r="C1459" s="4"/>
    </row>
    <row r="1460" spans="3:3" ht="15">
      <c r="C1460" s="4"/>
    </row>
    <row r="1461" spans="3:3" ht="15">
      <c r="C1461" s="4"/>
    </row>
    <row r="1462" spans="3:3" ht="15">
      <c r="C1462" s="4"/>
    </row>
    <row r="1463" spans="3:3" ht="15">
      <c r="C1463" s="4"/>
    </row>
    <row r="1464" spans="3:3" ht="15">
      <c r="C1464" s="4"/>
    </row>
    <row r="1465" spans="3:3" ht="15">
      <c r="C1465" s="4"/>
    </row>
    <row r="1466" spans="3:3" ht="15">
      <c r="C1466" s="4"/>
    </row>
    <row r="1467" spans="3:3" ht="15">
      <c r="C1467" s="4"/>
    </row>
    <row r="1468" spans="3:3" ht="15">
      <c r="C1468" s="4"/>
    </row>
    <row r="1469" spans="3:3" ht="15">
      <c r="C1469" s="4"/>
    </row>
    <row r="1470" spans="3:3" ht="15">
      <c r="C1470" s="4"/>
    </row>
    <row r="1471" spans="3:3" ht="15">
      <c r="C1471" s="4"/>
    </row>
    <row r="1472" spans="3:3" ht="15">
      <c r="C1472" s="4"/>
    </row>
    <row r="1473" spans="3:3" ht="15">
      <c r="C1473" s="4"/>
    </row>
    <row r="1474" spans="3:3" ht="15">
      <c r="C1474" s="4"/>
    </row>
    <row r="1475" spans="3:3" ht="15">
      <c r="C1475" s="4"/>
    </row>
    <row r="1476" spans="3:3" ht="15">
      <c r="C1476" s="4"/>
    </row>
    <row r="1477" spans="3:3" ht="15">
      <c r="C1477" s="4"/>
    </row>
    <row r="1478" spans="3:3" ht="15">
      <c r="C1478" s="4"/>
    </row>
    <row r="1479" spans="3:3" ht="15">
      <c r="C1479" s="4"/>
    </row>
    <row r="1480" spans="3:3" ht="15">
      <c r="C1480" s="4"/>
    </row>
    <row r="1481" spans="3:3" ht="15">
      <c r="C1481" s="4"/>
    </row>
    <row r="1482" spans="3:3" ht="15">
      <c r="C1482" s="4"/>
    </row>
    <row r="1483" spans="3:3" ht="15">
      <c r="C1483" s="4"/>
    </row>
    <row r="1484" spans="3:3" ht="15">
      <c r="C1484" s="4"/>
    </row>
    <row r="1485" spans="3:3" ht="15">
      <c r="C1485" s="4"/>
    </row>
    <row r="1486" spans="3:3" ht="15">
      <c r="C1486" s="4"/>
    </row>
    <row r="1487" spans="3:3" ht="15">
      <c r="C1487" s="4"/>
    </row>
    <row r="1488" spans="3:3" ht="15">
      <c r="C1488" s="4"/>
    </row>
    <row r="1489" spans="3:3" ht="15">
      <c r="C1489" s="4"/>
    </row>
    <row r="1490" spans="3:3" ht="15">
      <c r="C1490" s="4"/>
    </row>
    <row r="1491" spans="3:3" ht="15">
      <c r="C1491" s="4"/>
    </row>
    <row r="1492" spans="3:3" ht="15">
      <c r="C1492" s="4"/>
    </row>
    <row r="1493" spans="3:3" ht="15">
      <c r="C1493" s="4"/>
    </row>
    <row r="1494" spans="3:3" ht="15">
      <c r="C1494" s="4"/>
    </row>
    <row r="1495" spans="3:3" ht="15">
      <c r="C1495" s="4"/>
    </row>
    <row r="1496" spans="3:3" ht="15">
      <c r="C1496" s="4"/>
    </row>
    <row r="1497" spans="3:3" ht="15">
      <c r="C1497" s="4"/>
    </row>
    <row r="1498" spans="3:3" ht="15">
      <c r="C1498" s="4"/>
    </row>
    <row r="1499" spans="3:3" ht="15">
      <c r="C1499" s="4"/>
    </row>
    <row r="1500" spans="3:3" ht="15">
      <c r="C1500" s="4"/>
    </row>
    <row r="1501" spans="3:3" ht="15">
      <c r="C1501" s="4"/>
    </row>
    <row r="1502" spans="3:3" ht="15">
      <c r="C1502" s="4"/>
    </row>
    <row r="1503" spans="3:3" ht="15">
      <c r="C1503" s="4"/>
    </row>
    <row r="1504" spans="3:3" ht="15">
      <c r="C1504" s="4"/>
    </row>
    <row r="1505" spans="3:3" ht="15">
      <c r="C1505" s="4"/>
    </row>
    <row r="1506" spans="3:3" ht="15">
      <c r="C1506" s="4"/>
    </row>
    <row r="1507" spans="3:3" ht="15">
      <c r="C1507" s="4"/>
    </row>
    <row r="1508" spans="3:3" ht="15">
      <c r="C1508" s="4"/>
    </row>
    <row r="1509" spans="3:3" ht="15">
      <c r="C1509" s="4"/>
    </row>
    <row r="1510" spans="3:3" ht="15">
      <c r="C1510" s="4"/>
    </row>
    <row r="1511" spans="3:3" ht="15">
      <c r="C1511" s="4"/>
    </row>
    <row r="1512" spans="3:3" ht="15">
      <c r="C1512" s="4"/>
    </row>
    <row r="1513" spans="3:3" ht="15">
      <c r="C1513" s="4"/>
    </row>
    <row r="1514" spans="3:3" ht="15">
      <c r="C1514" s="4"/>
    </row>
    <row r="1515" spans="3:3" ht="15">
      <c r="C1515" s="4"/>
    </row>
    <row r="1516" spans="3:3" ht="15">
      <c r="C1516" s="4"/>
    </row>
    <row r="1517" spans="3:3" ht="15">
      <c r="C1517" s="4"/>
    </row>
    <row r="1518" spans="3:3" ht="15">
      <c r="C1518" s="4"/>
    </row>
    <row r="1519" spans="3:3" ht="15">
      <c r="C1519" s="4"/>
    </row>
    <row r="1520" spans="3:3" ht="15">
      <c r="C1520" s="4"/>
    </row>
    <row r="1521" spans="3:3" ht="15">
      <c r="C1521" s="4"/>
    </row>
    <row r="1522" spans="3:3" ht="15">
      <c r="C1522" s="4"/>
    </row>
    <row r="1523" spans="3:3" ht="15">
      <c r="C1523" s="4"/>
    </row>
    <row r="1524" spans="3:3" ht="15">
      <c r="C1524" s="4"/>
    </row>
    <row r="1525" spans="3:3" ht="15">
      <c r="C1525" s="4"/>
    </row>
    <row r="1526" spans="3:3" ht="15">
      <c r="C1526" s="4"/>
    </row>
    <row r="1527" spans="3:3" ht="15">
      <c r="C1527" s="4"/>
    </row>
    <row r="1528" spans="3:3" ht="15">
      <c r="C1528" s="4"/>
    </row>
    <row r="1529" spans="3:3" ht="15">
      <c r="C1529" s="4"/>
    </row>
    <row r="1530" spans="3:3" ht="15">
      <c r="C1530" s="4"/>
    </row>
    <row r="1531" spans="3:3" ht="15">
      <c r="C1531" s="4"/>
    </row>
    <row r="1532" spans="3:3" ht="15">
      <c r="C1532" s="4"/>
    </row>
    <row r="1533" spans="3:3" ht="15">
      <c r="C1533" s="4"/>
    </row>
    <row r="1534" spans="3:3" ht="15">
      <c r="C1534" s="4"/>
    </row>
    <row r="1535" spans="3:3" ht="15">
      <c r="C1535" s="4"/>
    </row>
    <row r="1536" spans="3:3" ht="15">
      <c r="C1536" s="4"/>
    </row>
    <row r="1537" spans="3:3" ht="15">
      <c r="C1537" s="4"/>
    </row>
    <row r="1538" spans="3:3" ht="15">
      <c r="C1538" s="4"/>
    </row>
    <row r="1539" spans="3:3" ht="15">
      <c r="C1539" s="4"/>
    </row>
    <row r="1540" spans="3:3" ht="15">
      <c r="C1540" s="4"/>
    </row>
    <row r="1541" spans="3:3" ht="15">
      <c r="C1541" s="4"/>
    </row>
    <row r="1542" spans="3:3" ht="15">
      <c r="C1542" s="4"/>
    </row>
    <row r="1543" spans="3:3" ht="15">
      <c r="C1543" s="4"/>
    </row>
    <row r="1544" spans="3:3" ht="15">
      <c r="C1544" s="4"/>
    </row>
    <row r="1545" spans="3:3" ht="15">
      <c r="C1545" s="4"/>
    </row>
    <row r="1546" spans="3:3" ht="15">
      <c r="C1546" s="4"/>
    </row>
    <row r="1547" spans="3:3" ht="15">
      <c r="C1547" s="4"/>
    </row>
    <row r="1548" spans="3:3" ht="15">
      <c r="C1548" s="4"/>
    </row>
    <row r="1549" spans="3:3" ht="15">
      <c r="C1549" s="4"/>
    </row>
    <row r="1550" spans="3:3" ht="15">
      <c r="C1550" s="4"/>
    </row>
    <row r="1551" spans="3:3" ht="15">
      <c r="C1551" s="4"/>
    </row>
    <row r="1552" spans="3:3" ht="15">
      <c r="C1552" s="4"/>
    </row>
    <row r="1553" spans="3:3" ht="15">
      <c r="C1553" s="4"/>
    </row>
    <row r="1554" spans="3:3" ht="15">
      <c r="C1554" s="4"/>
    </row>
    <row r="1555" spans="3:3" ht="15">
      <c r="C1555" s="4"/>
    </row>
    <row r="1556" spans="3:3" ht="15">
      <c r="C1556" s="4"/>
    </row>
    <row r="1557" spans="3:3" ht="15">
      <c r="C1557" s="4"/>
    </row>
    <row r="1558" spans="3:3" ht="15">
      <c r="C1558" s="4"/>
    </row>
    <row r="1559" spans="3:3" ht="15">
      <c r="C1559" s="4"/>
    </row>
    <row r="1560" spans="3:3" ht="15">
      <c r="C1560" s="4"/>
    </row>
    <row r="1561" spans="3:3" ht="15">
      <c r="C1561" s="4"/>
    </row>
    <row r="1562" spans="3:3" ht="15">
      <c r="C1562" s="4"/>
    </row>
    <row r="1563" spans="3:3" ht="15">
      <c r="C1563" s="4"/>
    </row>
    <row r="1564" spans="3:3" ht="15">
      <c r="C1564" s="4"/>
    </row>
    <row r="1565" spans="3:3" ht="15">
      <c r="C1565" s="4"/>
    </row>
    <row r="1566" spans="3:3" ht="15">
      <c r="C1566" s="4"/>
    </row>
    <row r="1567" spans="3:3" ht="15">
      <c r="C1567" s="4"/>
    </row>
    <row r="1568" spans="3:3" ht="15">
      <c r="C1568" s="4"/>
    </row>
    <row r="1569" spans="3:3" ht="15">
      <c r="C1569" s="4"/>
    </row>
    <row r="1570" spans="3:3" ht="15">
      <c r="C1570" s="4"/>
    </row>
    <row r="1571" spans="3:3" ht="15">
      <c r="C1571" s="4"/>
    </row>
    <row r="1572" spans="3:3" ht="15">
      <c r="C1572" s="4"/>
    </row>
    <row r="1573" spans="3:3" ht="15">
      <c r="C1573" s="4"/>
    </row>
    <row r="1574" spans="3:3" ht="15">
      <c r="C1574" s="4"/>
    </row>
    <row r="1575" spans="3:3" ht="15">
      <c r="C1575" s="4"/>
    </row>
    <row r="1576" spans="3:3" ht="15">
      <c r="C1576" s="4"/>
    </row>
    <row r="1577" spans="3:3" ht="15">
      <c r="C1577" s="4"/>
    </row>
    <row r="1578" spans="3:3" ht="15">
      <c r="C1578" s="4"/>
    </row>
    <row r="1579" spans="3:3" ht="15">
      <c r="C1579" s="4"/>
    </row>
    <row r="1580" spans="3:3" ht="15">
      <c r="C1580" s="4"/>
    </row>
    <row r="1581" spans="3:3" ht="15">
      <c r="C1581" s="4"/>
    </row>
    <row r="1582" spans="3:3" ht="15">
      <c r="C1582" s="4"/>
    </row>
    <row r="1583" spans="3:3" ht="15">
      <c r="C1583" s="4"/>
    </row>
    <row r="1584" spans="3:3" ht="15">
      <c r="C1584" s="4"/>
    </row>
    <row r="1585" spans="3:3" ht="15">
      <c r="C1585" s="4"/>
    </row>
    <row r="1586" spans="3:3" ht="15">
      <c r="C1586" s="4"/>
    </row>
    <row r="1587" spans="3:3" ht="15">
      <c r="C1587" s="4"/>
    </row>
    <row r="1588" spans="3:3" ht="15">
      <c r="C1588" s="4"/>
    </row>
    <row r="1589" spans="3:3" ht="15">
      <c r="C1589" s="4"/>
    </row>
    <row r="1590" spans="3:3" ht="15">
      <c r="C1590" s="4"/>
    </row>
    <row r="1591" spans="3:3" ht="15">
      <c r="C1591" s="4"/>
    </row>
    <row r="1592" spans="3:3" ht="15">
      <c r="C1592" s="4"/>
    </row>
    <row r="1593" spans="3:3" ht="15">
      <c r="C1593" s="4"/>
    </row>
    <row r="1594" spans="3:3" ht="15">
      <c r="C1594" s="4"/>
    </row>
    <row r="1595" spans="3:3" ht="15">
      <c r="C1595" s="4"/>
    </row>
    <row r="1596" spans="3:3" ht="15">
      <c r="C1596" s="4"/>
    </row>
    <row r="1597" spans="3:3" ht="15">
      <c r="C1597" s="4"/>
    </row>
    <row r="1598" spans="3:3" ht="15">
      <c r="C1598" s="4"/>
    </row>
    <row r="1599" spans="3:3" ht="15">
      <c r="C1599" s="4"/>
    </row>
    <row r="1600" spans="3:3" ht="15">
      <c r="C1600" s="4"/>
    </row>
    <row r="1601" spans="3:3" ht="15">
      <c r="C1601" s="4"/>
    </row>
    <row r="1602" spans="3:3" ht="15">
      <c r="C1602" s="4"/>
    </row>
    <row r="1603" spans="3:3" ht="15">
      <c r="C1603" s="4"/>
    </row>
    <row r="1604" spans="3:3" ht="15">
      <c r="C1604" s="4"/>
    </row>
    <row r="1605" spans="3:3" ht="15">
      <c r="C1605" s="4"/>
    </row>
    <row r="1606" spans="3:3" ht="15">
      <c r="C1606" s="4"/>
    </row>
    <row r="1607" spans="3:3" ht="15">
      <c r="C1607" s="4"/>
    </row>
    <row r="1608" spans="3:3" ht="15">
      <c r="C1608" s="4"/>
    </row>
    <row r="1609" spans="3:3" ht="15">
      <c r="C1609" s="4"/>
    </row>
    <row r="1610" spans="3:3" ht="15">
      <c r="C1610" s="4"/>
    </row>
    <row r="1611" spans="3:3" ht="15">
      <c r="C1611" s="4"/>
    </row>
    <row r="1612" spans="3:3" ht="15">
      <c r="C1612" s="4"/>
    </row>
    <row r="1613" spans="3:3" ht="15">
      <c r="C1613" s="4"/>
    </row>
    <row r="1614" spans="3:3" ht="15">
      <c r="C1614" s="4"/>
    </row>
    <row r="1615" spans="3:3" ht="15">
      <c r="C1615" s="4"/>
    </row>
    <row r="1616" spans="3:3" ht="15">
      <c r="C1616" s="4"/>
    </row>
    <row r="1617" spans="3:3" ht="15">
      <c r="C1617" s="4"/>
    </row>
    <row r="1618" spans="3:3" ht="15">
      <c r="C1618" s="4"/>
    </row>
    <row r="1619" spans="3:3" ht="15">
      <c r="C1619" s="4"/>
    </row>
    <row r="1620" spans="3:3" ht="15">
      <c r="C1620" s="4"/>
    </row>
    <row r="1621" spans="3:3" ht="15">
      <c r="C1621" s="4"/>
    </row>
    <row r="1622" spans="3:3" ht="15">
      <c r="C1622" s="4"/>
    </row>
    <row r="1623" spans="3:3" ht="15">
      <c r="C1623" s="4"/>
    </row>
    <row r="1624" spans="3:3" ht="15">
      <c r="C1624" s="4"/>
    </row>
    <row r="1625" spans="3:3" ht="15">
      <c r="C1625" s="4"/>
    </row>
    <row r="1626" spans="3:3" ht="15">
      <c r="C1626" s="4"/>
    </row>
    <row r="1627" spans="3:3" ht="15">
      <c r="C1627" s="4"/>
    </row>
    <row r="1628" spans="3:3" ht="15">
      <c r="C1628" s="4"/>
    </row>
    <row r="1629" spans="3:3" ht="15">
      <c r="C1629" s="4"/>
    </row>
    <row r="1630" spans="3:3" ht="15">
      <c r="C1630" s="4"/>
    </row>
    <row r="1631" spans="3:3" ht="15">
      <c r="C1631" s="4"/>
    </row>
    <row r="1632" spans="3:3" ht="15">
      <c r="C1632" s="4"/>
    </row>
    <row r="1633" spans="3:3" ht="15">
      <c r="C1633" s="4"/>
    </row>
    <row r="1634" spans="3:3" ht="15">
      <c r="C1634" s="4"/>
    </row>
    <row r="1635" spans="3:3" ht="15">
      <c r="C1635" s="4"/>
    </row>
    <row r="1636" spans="3:3" ht="15">
      <c r="C1636" s="4"/>
    </row>
    <row r="1637" spans="3:3" ht="15">
      <c r="C1637" s="4"/>
    </row>
    <row r="1638" spans="3:3" ht="15">
      <c r="C1638" s="4"/>
    </row>
    <row r="1639" spans="3:3" ht="15">
      <c r="C1639" s="4"/>
    </row>
    <row r="1640" spans="3:3" ht="15">
      <c r="C1640" s="4"/>
    </row>
    <row r="1641" spans="3:3" ht="15">
      <c r="C1641" s="4"/>
    </row>
    <row r="1642" spans="3:3" ht="15">
      <c r="C1642" s="4"/>
    </row>
    <row r="1643" spans="3:3" ht="15">
      <c r="C1643" s="4"/>
    </row>
    <row r="1644" spans="3:3" ht="15">
      <c r="C1644" s="4"/>
    </row>
    <row r="1645" spans="3:3" ht="15">
      <c r="C1645" s="4"/>
    </row>
    <row r="1646" spans="3:3" ht="15">
      <c r="C1646" s="4"/>
    </row>
    <row r="1647" spans="3:3" ht="15">
      <c r="C1647" s="4"/>
    </row>
    <row r="1648" spans="3:3" ht="15">
      <c r="C1648" s="4"/>
    </row>
    <row r="1649" spans="3:3" ht="15">
      <c r="C1649" s="4"/>
    </row>
    <row r="1650" spans="3:3" ht="15">
      <c r="C1650" s="4"/>
    </row>
    <row r="1651" spans="3:3" ht="15">
      <c r="C1651" s="4"/>
    </row>
    <row r="1652" spans="3:3" ht="15">
      <c r="C1652" s="4"/>
    </row>
    <row r="1653" spans="3:3" ht="15">
      <c r="C1653" s="4"/>
    </row>
    <row r="1654" spans="3:3" ht="15">
      <c r="C1654" s="4"/>
    </row>
    <row r="1655" spans="3:3" ht="15">
      <c r="C1655" s="4"/>
    </row>
    <row r="1656" spans="3:3" ht="15">
      <c r="C1656" s="4"/>
    </row>
    <row r="1657" spans="3:3" ht="15">
      <c r="C1657" s="4"/>
    </row>
    <row r="1658" spans="3:3" ht="15">
      <c r="C1658" s="4"/>
    </row>
    <row r="1659" spans="3:3" ht="15">
      <c r="C1659" s="4"/>
    </row>
    <row r="1660" spans="3:3" ht="15">
      <c r="C1660" s="4"/>
    </row>
    <row r="1661" spans="3:3" ht="15">
      <c r="C1661" s="4"/>
    </row>
    <row r="1662" spans="3:3" ht="15">
      <c r="C1662" s="4"/>
    </row>
    <row r="1663" spans="3:3" ht="15">
      <c r="C1663" s="4"/>
    </row>
    <row r="1664" spans="3:3" ht="15">
      <c r="C1664" s="4"/>
    </row>
    <row r="1665" spans="3:3" ht="15">
      <c r="C1665" s="4"/>
    </row>
    <row r="1666" spans="3:3" ht="15">
      <c r="C1666" s="4"/>
    </row>
    <row r="1667" spans="3:3" ht="15">
      <c r="C1667" s="4"/>
    </row>
    <row r="1668" spans="3:3" ht="15">
      <c r="C1668" s="4"/>
    </row>
    <row r="1669" spans="3:3" ht="15">
      <c r="C1669" s="4"/>
    </row>
    <row r="1670" spans="3:3" ht="15">
      <c r="C1670" s="4"/>
    </row>
    <row r="1671" spans="3:3" ht="15">
      <c r="C1671" s="4"/>
    </row>
    <row r="1672" spans="3:3" ht="15">
      <c r="C1672" s="4"/>
    </row>
    <row r="1673" spans="3:3" ht="15">
      <c r="C1673" s="4"/>
    </row>
    <row r="1674" spans="3:3" ht="15">
      <c r="C1674" s="4"/>
    </row>
    <row r="1675" spans="3:3" ht="15">
      <c r="C1675" s="4"/>
    </row>
    <row r="1676" spans="3:3" ht="15">
      <c r="C1676" s="4"/>
    </row>
    <row r="1677" spans="3:3" ht="15">
      <c r="C1677" s="4"/>
    </row>
    <row r="1678" spans="3:3" ht="15">
      <c r="C1678" s="4"/>
    </row>
    <row r="1679" spans="3:3" ht="15">
      <c r="C1679" s="4"/>
    </row>
    <row r="1680" spans="3:3" ht="15">
      <c r="C1680" s="4"/>
    </row>
    <row r="1681" spans="3:3" ht="15">
      <c r="C1681" s="4"/>
    </row>
    <row r="1682" spans="3:3" ht="15">
      <c r="C1682" s="4"/>
    </row>
    <row r="1683" spans="3:3" ht="15">
      <c r="C1683" s="4"/>
    </row>
    <row r="1684" spans="3:3" ht="15">
      <c r="C1684" s="4"/>
    </row>
    <row r="1685" spans="3:3" ht="15">
      <c r="C1685" s="4"/>
    </row>
    <row r="1686" spans="3:3" ht="15">
      <c r="C1686" s="4"/>
    </row>
    <row r="1687" spans="3:3" ht="15">
      <c r="C1687" s="4"/>
    </row>
    <row r="1688" spans="3:3" ht="15">
      <c r="C1688" s="4"/>
    </row>
    <row r="1689" spans="3:3" ht="15">
      <c r="C1689" s="4"/>
    </row>
    <row r="1690" spans="3:3" ht="15">
      <c r="C1690" s="4"/>
    </row>
    <row r="1691" spans="3:3" ht="15">
      <c r="C1691" s="4"/>
    </row>
    <row r="1692" spans="3:3" ht="15">
      <c r="C1692" s="4"/>
    </row>
    <row r="1693" spans="3:3" ht="15">
      <c r="C1693" s="4"/>
    </row>
    <row r="1694" spans="3:3" ht="15">
      <c r="C1694" s="4"/>
    </row>
    <row r="1695" spans="3:3" ht="15">
      <c r="C1695" s="4"/>
    </row>
    <row r="1696" spans="3:3" ht="15">
      <c r="C1696" s="4"/>
    </row>
    <row r="1697" spans="3:3" ht="15">
      <c r="C1697" s="4"/>
    </row>
    <row r="1698" spans="3:3" ht="15">
      <c r="C1698" s="4"/>
    </row>
    <row r="1699" spans="3:3" ht="15">
      <c r="C1699" s="4"/>
    </row>
    <row r="1700" spans="3:3" ht="15">
      <c r="C1700" s="4"/>
    </row>
    <row r="1701" spans="3:3" ht="15">
      <c r="C1701" s="4"/>
    </row>
    <row r="1702" spans="3:3" ht="15">
      <c r="C1702" s="4"/>
    </row>
    <row r="1703" spans="3:3" ht="15">
      <c r="C1703" s="4"/>
    </row>
    <row r="1704" spans="3:3" ht="15">
      <c r="C1704" s="4"/>
    </row>
    <row r="1705" spans="3:3" ht="15">
      <c r="C1705" s="4"/>
    </row>
    <row r="1706" spans="3:3" ht="15">
      <c r="C1706" s="4"/>
    </row>
    <row r="1707" spans="3:3" ht="15">
      <c r="C1707" s="4"/>
    </row>
    <row r="1708" spans="3:3" ht="15">
      <c r="C1708" s="4"/>
    </row>
    <row r="1709" spans="3:3" ht="15">
      <c r="C1709" s="4"/>
    </row>
    <row r="1710" spans="3:3" ht="15">
      <c r="C1710" s="4"/>
    </row>
    <row r="1711" spans="3:3" ht="15">
      <c r="C1711" s="4"/>
    </row>
    <row r="1712" spans="3:3" ht="15">
      <c r="C1712" s="4"/>
    </row>
    <row r="1713" spans="3:3" ht="15">
      <c r="C1713" s="4"/>
    </row>
    <row r="1714" spans="3:3" ht="15">
      <c r="C1714" s="4"/>
    </row>
    <row r="1715" spans="3:3" ht="15">
      <c r="C1715" s="4"/>
    </row>
    <row r="1716" spans="3:3" ht="15">
      <c r="C1716" s="4"/>
    </row>
    <row r="1717" spans="3:3" ht="15">
      <c r="C1717" s="4"/>
    </row>
    <row r="1718" spans="3:3" ht="15">
      <c r="C1718" s="4"/>
    </row>
    <row r="1719" spans="3:3" ht="15">
      <c r="C1719" s="4"/>
    </row>
    <row r="1720" spans="3:3" ht="15">
      <c r="C1720" s="4"/>
    </row>
    <row r="1721" spans="3:3" ht="15">
      <c r="C1721" s="4"/>
    </row>
    <row r="1722" spans="3:3" ht="15">
      <c r="C1722" s="4"/>
    </row>
    <row r="1723" spans="3:3" ht="15">
      <c r="C1723" s="4"/>
    </row>
    <row r="1724" spans="3:3" ht="15">
      <c r="C1724" s="4"/>
    </row>
    <row r="1725" spans="3:3" ht="15">
      <c r="C1725" s="4"/>
    </row>
    <row r="1726" spans="3:3" ht="15">
      <c r="C1726" s="4"/>
    </row>
    <row r="1727" spans="3:3" ht="15">
      <c r="C1727" s="4"/>
    </row>
    <row r="1728" spans="3:3" ht="15">
      <c r="C1728" s="4"/>
    </row>
    <row r="1729" spans="3:3" ht="15">
      <c r="C1729" s="4"/>
    </row>
    <row r="1730" spans="3:3" ht="15">
      <c r="C1730" s="4"/>
    </row>
    <row r="1731" spans="3:3" ht="15">
      <c r="C1731" s="4"/>
    </row>
    <row r="1732" spans="3:3" ht="15">
      <c r="C1732" s="4"/>
    </row>
    <row r="1733" spans="3:3" ht="15">
      <c r="C1733" s="4"/>
    </row>
    <row r="1734" spans="3:3" ht="15">
      <c r="C1734" s="4"/>
    </row>
    <row r="1735" spans="3:3" ht="15">
      <c r="C1735" s="4"/>
    </row>
    <row r="1736" spans="3:3" ht="15">
      <c r="C1736" s="4"/>
    </row>
    <row r="1737" spans="3:3" ht="15">
      <c r="C1737" s="4"/>
    </row>
    <row r="1738" spans="3:3" ht="15">
      <c r="C1738" s="4"/>
    </row>
    <row r="1739" spans="3:3" ht="15">
      <c r="C1739" s="4"/>
    </row>
    <row r="1740" spans="3:3" ht="15">
      <c r="C1740" s="4"/>
    </row>
    <row r="1741" spans="3:3" ht="15">
      <c r="C1741" s="4"/>
    </row>
    <row r="1742" spans="3:3" ht="15">
      <c r="C1742" s="4"/>
    </row>
    <row r="1743" spans="3:3" ht="15">
      <c r="C1743" s="4"/>
    </row>
    <row r="1744" spans="3:3" ht="15">
      <c r="C1744" s="4"/>
    </row>
    <row r="1745" spans="3:3" ht="15">
      <c r="C1745" s="4"/>
    </row>
    <row r="1746" spans="3:3" ht="15">
      <c r="C1746" s="4"/>
    </row>
    <row r="1747" spans="3:3" ht="15">
      <c r="C1747" s="4"/>
    </row>
    <row r="1748" spans="3:3" ht="15">
      <c r="C1748" s="4"/>
    </row>
    <row r="1749" spans="3:3" ht="15">
      <c r="C1749" s="4"/>
    </row>
    <row r="1750" spans="3:3" ht="15">
      <c r="C1750" s="4"/>
    </row>
    <row r="1751" spans="3:3" ht="15">
      <c r="C1751" s="4"/>
    </row>
    <row r="1752" spans="3:3" ht="15">
      <c r="C1752" s="4"/>
    </row>
    <row r="1753" spans="3:3" ht="15">
      <c r="C1753" s="4"/>
    </row>
    <row r="1754" spans="3:3" ht="15">
      <c r="C1754" s="4"/>
    </row>
    <row r="1755" spans="3:3" ht="15">
      <c r="C1755" s="4"/>
    </row>
    <row r="1756" spans="3:3" ht="15">
      <c r="C1756" s="4"/>
    </row>
    <row r="1757" spans="3:3" ht="15">
      <c r="C1757" s="4"/>
    </row>
    <row r="1758" spans="3:3" ht="15">
      <c r="C1758" s="4"/>
    </row>
    <row r="1759" spans="3:3" ht="15">
      <c r="C1759" s="4"/>
    </row>
    <row r="1760" spans="3:3" ht="15">
      <c r="C1760" s="4"/>
    </row>
    <row r="1761" spans="3:3" ht="15">
      <c r="C1761" s="4"/>
    </row>
    <row r="1762" spans="3:3" ht="15">
      <c r="C1762" s="4"/>
    </row>
    <row r="1763" spans="3:3" ht="15">
      <c r="C1763" s="4"/>
    </row>
    <row r="1764" spans="3:3" ht="15">
      <c r="C1764" s="4"/>
    </row>
    <row r="1765" spans="3:3" ht="15">
      <c r="C1765" s="4"/>
    </row>
    <row r="1766" spans="3:3" ht="15">
      <c r="C1766" s="4"/>
    </row>
    <row r="1767" spans="3:3" ht="15">
      <c r="C1767" s="4"/>
    </row>
    <row r="1768" spans="3:3" ht="15">
      <c r="C1768" s="4"/>
    </row>
    <row r="1769" spans="3:3" ht="15">
      <c r="C1769" s="4"/>
    </row>
    <row r="1770" spans="3:3" ht="15">
      <c r="C1770" s="4"/>
    </row>
    <row r="1771" spans="3:3" ht="15">
      <c r="C1771" s="4"/>
    </row>
    <row r="1772" spans="3:3" ht="15">
      <c r="C1772" s="4"/>
    </row>
    <row r="1773" spans="3:3" ht="15">
      <c r="C1773" s="4"/>
    </row>
    <row r="1774" spans="3:3" ht="15">
      <c r="C1774" s="4"/>
    </row>
    <row r="1775" spans="3:3" ht="15">
      <c r="C1775" s="4"/>
    </row>
    <row r="1776" spans="3:3" ht="15">
      <c r="C1776" s="4"/>
    </row>
    <row r="1777" spans="3:3" ht="15">
      <c r="C1777" s="4"/>
    </row>
    <row r="1778" spans="3:3" ht="15">
      <c r="C1778" s="4"/>
    </row>
    <row r="1779" spans="3:3" ht="15">
      <c r="C1779" s="4"/>
    </row>
    <row r="1780" spans="3:3" ht="15">
      <c r="C1780" s="4"/>
    </row>
    <row r="1781" spans="3:3" ht="15">
      <c r="C1781" s="4"/>
    </row>
    <row r="1782" spans="3:3" ht="15">
      <c r="C1782" s="4"/>
    </row>
    <row r="1783" spans="3:3" ht="15">
      <c r="C1783" s="4"/>
    </row>
    <row r="1784" spans="3:3" ht="15">
      <c r="C1784" s="4"/>
    </row>
    <row r="1785" spans="3:3" ht="15">
      <c r="C1785" s="4"/>
    </row>
    <row r="1786" spans="3:3" ht="15">
      <c r="C1786" s="4"/>
    </row>
    <row r="1787" spans="3:3" ht="15">
      <c r="C1787" s="4"/>
    </row>
    <row r="1788" spans="3:3" ht="15">
      <c r="C1788" s="4"/>
    </row>
    <row r="1789" spans="3:3" ht="15">
      <c r="C1789" s="4"/>
    </row>
    <row r="1790" spans="3:3" ht="15">
      <c r="C1790" s="4"/>
    </row>
    <row r="1791" spans="3:3" ht="15">
      <c r="C1791" s="4"/>
    </row>
    <row r="1792" spans="3:3" ht="15">
      <c r="C1792" s="4"/>
    </row>
    <row r="1793" spans="3:3" ht="15">
      <c r="C1793" s="4"/>
    </row>
    <row r="1794" spans="3:3" ht="15">
      <c r="C1794" s="4"/>
    </row>
    <row r="1795" spans="3:3" ht="15">
      <c r="C1795" s="4"/>
    </row>
    <row r="1796" spans="3:3" ht="15">
      <c r="C1796" s="4"/>
    </row>
    <row r="1797" spans="3:3" ht="15">
      <c r="C1797" s="4"/>
    </row>
    <row r="1798" spans="3:3" ht="15">
      <c r="C1798" s="4"/>
    </row>
    <row r="1799" spans="3:3" ht="15">
      <c r="C1799" s="4"/>
    </row>
    <row r="1800" spans="3:3" ht="15">
      <c r="C1800" s="4"/>
    </row>
    <row r="1801" spans="3:3" ht="15">
      <c r="C1801" s="4"/>
    </row>
    <row r="1802" spans="3:3" ht="15">
      <c r="C1802" s="4"/>
    </row>
    <row r="1803" spans="3:3" ht="15">
      <c r="C1803" s="4"/>
    </row>
    <row r="1804" spans="3:3" ht="15">
      <c r="C1804" s="4"/>
    </row>
    <row r="1805" spans="3:3" ht="15">
      <c r="C1805" s="4"/>
    </row>
    <row r="1806" spans="3:3" ht="15">
      <c r="C1806" s="4"/>
    </row>
    <row r="1807" spans="3:3" ht="15">
      <c r="C1807" s="4"/>
    </row>
    <row r="1808" spans="3:3" ht="15">
      <c r="C1808" s="4"/>
    </row>
    <row r="1809" spans="3:3" ht="15">
      <c r="C1809" s="4"/>
    </row>
    <row r="1810" spans="3:3" ht="15">
      <c r="C1810" s="4"/>
    </row>
    <row r="1811" spans="3:3" ht="15">
      <c r="C1811" s="4"/>
    </row>
    <row r="1812" spans="3:3" ht="15">
      <c r="C1812" s="4"/>
    </row>
    <row r="1813" spans="3:3" ht="15">
      <c r="C1813" s="4"/>
    </row>
    <row r="1814" spans="3:3" ht="15">
      <c r="C1814" s="4"/>
    </row>
    <row r="1815" spans="3:3" ht="15">
      <c r="C1815" s="4"/>
    </row>
    <row r="1816" spans="3:3" ht="15">
      <c r="C1816" s="4"/>
    </row>
    <row r="1817" spans="3:3" ht="15">
      <c r="C1817" s="4"/>
    </row>
    <row r="1818" spans="3:3" ht="15">
      <c r="C1818" s="4"/>
    </row>
    <row r="1819" spans="3:3" ht="15">
      <c r="C1819" s="4"/>
    </row>
    <row r="1820" spans="3:3" ht="15">
      <c r="C1820" s="4"/>
    </row>
    <row r="1821" spans="3:3" ht="15">
      <c r="C1821" s="4"/>
    </row>
    <row r="1822" spans="3:3" ht="15">
      <c r="C1822" s="4"/>
    </row>
    <row r="1823" spans="3:3" ht="15">
      <c r="C1823" s="4"/>
    </row>
    <row r="1824" spans="3:3" ht="15">
      <c r="C1824" s="4"/>
    </row>
    <row r="1825" spans="3:3" ht="15">
      <c r="C1825" s="4"/>
    </row>
    <row r="1826" spans="3:3" ht="15">
      <c r="C1826" s="4"/>
    </row>
    <row r="1827" spans="3:3" ht="15">
      <c r="C1827" s="4"/>
    </row>
    <row r="1828" spans="3:3" ht="15">
      <c r="C1828" s="4"/>
    </row>
    <row r="1829" spans="3:3" ht="15">
      <c r="C1829" s="4"/>
    </row>
    <row r="1830" spans="3:3" ht="15">
      <c r="C1830" s="4"/>
    </row>
    <row r="1831" spans="3:3" ht="15">
      <c r="C1831" s="4"/>
    </row>
    <row r="1832" spans="3:3" ht="15">
      <c r="C1832" s="4"/>
    </row>
    <row r="1833" spans="3:3" ht="15">
      <c r="C1833" s="4"/>
    </row>
    <row r="1834" spans="3:3" ht="15">
      <c r="C1834" s="4"/>
    </row>
    <row r="1835" spans="3:3" ht="15">
      <c r="C1835" s="4"/>
    </row>
    <row r="1836" spans="3:3" ht="15">
      <c r="C1836" s="4"/>
    </row>
    <row r="1837" spans="3:3" ht="15">
      <c r="C1837" s="4"/>
    </row>
    <row r="1838" spans="3:3" ht="15">
      <c r="C1838" s="4"/>
    </row>
    <row r="1839" spans="3:3" ht="15">
      <c r="C1839" s="4"/>
    </row>
    <row r="1840" spans="3:3" ht="15">
      <c r="C1840" s="4"/>
    </row>
    <row r="1841" spans="3:3" ht="15">
      <c r="C1841" s="4"/>
    </row>
    <row r="1842" spans="3:3" ht="15">
      <c r="C1842" s="4"/>
    </row>
    <row r="1843" spans="3:3" ht="15">
      <c r="C1843" s="4"/>
    </row>
    <row r="1844" spans="3:3" ht="15">
      <c r="C1844" s="4"/>
    </row>
    <row r="1845" spans="3:3" ht="15">
      <c r="C1845" s="4"/>
    </row>
    <row r="1846" spans="3:3" ht="15">
      <c r="C1846" s="4"/>
    </row>
    <row r="1847" spans="3:3" ht="15">
      <c r="C1847" s="4"/>
    </row>
    <row r="1848" spans="3:3" ht="15">
      <c r="C1848" s="4"/>
    </row>
    <row r="1849" spans="3:3" ht="15">
      <c r="C1849" s="4"/>
    </row>
    <row r="1850" spans="3:3" ht="15">
      <c r="C1850" s="4"/>
    </row>
    <row r="1851" spans="3:3" ht="15">
      <c r="C1851" s="4"/>
    </row>
    <row r="1852" spans="3:3" ht="15">
      <c r="C1852" s="4"/>
    </row>
    <row r="1853" spans="3:3" ht="15">
      <c r="C1853" s="4"/>
    </row>
    <row r="1854" spans="3:3" ht="15">
      <c r="C1854" s="4"/>
    </row>
    <row r="1855" spans="3:3" ht="15">
      <c r="C1855" s="4"/>
    </row>
    <row r="1856" spans="3:3" ht="15">
      <c r="C1856" s="4"/>
    </row>
    <row r="1857" spans="3:3" ht="15">
      <c r="C1857" s="4"/>
    </row>
    <row r="1858" spans="3:3" ht="15">
      <c r="C1858" s="4"/>
    </row>
    <row r="1859" spans="3:3" ht="15">
      <c r="C1859" s="4"/>
    </row>
    <row r="1860" spans="3:3" ht="15">
      <c r="C1860" s="4"/>
    </row>
    <row r="1861" spans="3:3" ht="15">
      <c r="C1861" s="4"/>
    </row>
    <row r="1862" spans="3:3" ht="15">
      <c r="C1862" s="4"/>
    </row>
    <row r="1863" spans="3:3" ht="15">
      <c r="C1863" s="4"/>
    </row>
    <row r="1864" spans="3:3" ht="15">
      <c r="C1864" s="4"/>
    </row>
    <row r="1865" spans="3:3" ht="15">
      <c r="C1865" s="4"/>
    </row>
    <row r="1866" spans="3:3" ht="15">
      <c r="C1866" s="4"/>
    </row>
    <row r="1867" spans="3:3" ht="15">
      <c r="C1867" s="4"/>
    </row>
    <row r="1868" spans="3:3" ht="15">
      <c r="C1868" s="4"/>
    </row>
    <row r="1869" spans="3:3" ht="15">
      <c r="C1869" s="4"/>
    </row>
    <row r="1870" spans="3:3" ht="15">
      <c r="C1870" s="4"/>
    </row>
    <row r="1871" spans="3:3" ht="15">
      <c r="C1871" s="4"/>
    </row>
    <row r="1872" spans="3:3" ht="15">
      <c r="C1872" s="4"/>
    </row>
    <row r="1873" spans="3:3" ht="15">
      <c r="C1873" s="4"/>
    </row>
    <row r="1874" spans="3:3" ht="15">
      <c r="C1874" s="4"/>
    </row>
    <row r="1875" spans="3:3" ht="15">
      <c r="C1875" s="4"/>
    </row>
    <row r="1876" spans="3:3" ht="15">
      <c r="C1876" s="4"/>
    </row>
    <row r="1877" spans="3:3" ht="15">
      <c r="C1877" s="4"/>
    </row>
    <row r="1878" spans="3:3" ht="15">
      <c r="C1878" s="4"/>
    </row>
    <row r="1879" spans="3:3" ht="15">
      <c r="C1879" s="4"/>
    </row>
    <row r="1880" spans="3:3" ht="15">
      <c r="C1880" s="4"/>
    </row>
    <row r="1881" spans="3:3" ht="15">
      <c r="C1881" s="4"/>
    </row>
    <row r="1882" spans="3:3" ht="15">
      <c r="C1882" s="4"/>
    </row>
    <row r="1883" spans="3:3" ht="15">
      <c r="C1883" s="4"/>
    </row>
    <row r="1884" spans="3:3" ht="15">
      <c r="C1884" s="4"/>
    </row>
    <row r="1885" spans="3:3" ht="15">
      <c r="C1885" s="4"/>
    </row>
    <row r="1886" spans="3:3" ht="15">
      <c r="C1886" s="4"/>
    </row>
    <row r="1887" spans="3:3" ht="15">
      <c r="C1887" s="4"/>
    </row>
    <row r="1888" spans="3:3" ht="15">
      <c r="C1888" s="4"/>
    </row>
    <row r="1889" spans="3:3" ht="15">
      <c r="C1889" s="4"/>
    </row>
    <row r="1890" spans="3:3" ht="15">
      <c r="C1890" s="4"/>
    </row>
    <row r="1891" spans="3:3" ht="15">
      <c r="C1891" s="4"/>
    </row>
    <row r="1892" spans="3:3" ht="15">
      <c r="C1892" s="4"/>
    </row>
    <row r="1893" spans="3:3" ht="15">
      <c r="C1893" s="4"/>
    </row>
    <row r="1894" spans="3:3" ht="15">
      <c r="C1894" s="4"/>
    </row>
    <row r="1895" spans="3:3" ht="15">
      <c r="C1895" s="4"/>
    </row>
    <row r="1896" spans="3:3" ht="15">
      <c r="C1896" s="4"/>
    </row>
    <row r="1897" spans="3:3" ht="15">
      <c r="C1897" s="4"/>
    </row>
    <row r="1898" spans="3:3" ht="15">
      <c r="C1898" s="4"/>
    </row>
    <row r="1899" spans="3:3" ht="15">
      <c r="C1899" s="4"/>
    </row>
    <row r="1900" spans="3:3" ht="15">
      <c r="C1900" s="4"/>
    </row>
    <row r="1901" spans="3:3" ht="15">
      <c r="C1901" s="4"/>
    </row>
    <row r="1902" spans="3:3" ht="15">
      <c r="C1902" s="4"/>
    </row>
    <row r="1903" spans="3:3" ht="15">
      <c r="C1903" s="4"/>
    </row>
    <row r="1904" spans="3:3" ht="15">
      <c r="C1904" s="4"/>
    </row>
    <row r="1905" spans="3:3" ht="15">
      <c r="C1905" s="4"/>
    </row>
    <row r="1906" spans="3:3" ht="15">
      <c r="C1906" s="4"/>
    </row>
    <row r="1907" spans="3:3" ht="15">
      <c r="C1907" s="4"/>
    </row>
    <row r="1908" spans="3:3" ht="15">
      <c r="C1908" s="4"/>
    </row>
    <row r="1909" spans="3:3" ht="15">
      <c r="C1909" s="4"/>
    </row>
    <row r="1910" spans="3:3" ht="15">
      <c r="C1910" s="4"/>
    </row>
    <row r="1911" spans="3:3" ht="15">
      <c r="C1911" s="4"/>
    </row>
    <row r="1912" spans="3:3" ht="15">
      <c r="C1912" s="4"/>
    </row>
    <row r="1913" spans="3:3" ht="15">
      <c r="C1913" s="4"/>
    </row>
    <row r="1914" spans="3:3" ht="15">
      <c r="C1914" s="4"/>
    </row>
    <row r="1915" spans="3:3" ht="15">
      <c r="C1915" s="4"/>
    </row>
    <row r="1916" spans="3:3" ht="15">
      <c r="C1916" s="4"/>
    </row>
    <row r="1917" spans="3:3" ht="15">
      <c r="C1917" s="4"/>
    </row>
    <row r="1918" spans="3:3" ht="15">
      <c r="C1918" s="4"/>
    </row>
    <row r="1919" spans="3:3" ht="15">
      <c r="C1919" s="4"/>
    </row>
    <row r="1920" spans="3:3" ht="15">
      <c r="C1920" s="4"/>
    </row>
    <row r="1921" spans="3:3" ht="15">
      <c r="C1921" s="4"/>
    </row>
    <row r="1922" spans="3:3" ht="15">
      <c r="C1922" s="4"/>
    </row>
    <row r="1923" spans="3:3" ht="15">
      <c r="C1923" s="4"/>
    </row>
    <row r="1924" spans="3:3" ht="15">
      <c r="C1924" s="4"/>
    </row>
    <row r="1925" spans="3:3" ht="15">
      <c r="C1925" s="4"/>
    </row>
    <row r="1926" spans="3:3" ht="15">
      <c r="C1926" s="4"/>
    </row>
    <row r="1927" spans="3:3" ht="15">
      <c r="C1927" s="4"/>
    </row>
    <row r="1928" spans="3:3" ht="15">
      <c r="C1928" s="4"/>
    </row>
    <row r="1929" spans="3:3" ht="15">
      <c r="C1929" s="4"/>
    </row>
    <row r="1930" spans="3:3" ht="15">
      <c r="C1930" s="4"/>
    </row>
    <row r="1931" spans="3:3" ht="15">
      <c r="C1931" s="4"/>
    </row>
    <row r="1932" spans="3:3" ht="15">
      <c r="C1932" s="4"/>
    </row>
    <row r="1933" spans="3:3" ht="15">
      <c r="C1933" s="4"/>
    </row>
    <row r="1934" spans="3:3" ht="15">
      <c r="C1934" s="4"/>
    </row>
    <row r="1935" spans="3:3" ht="15">
      <c r="C1935" s="4"/>
    </row>
    <row r="1936" spans="3:3" ht="15">
      <c r="C1936" s="4"/>
    </row>
    <row r="1937" spans="3:3" ht="15">
      <c r="C1937" s="4"/>
    </row>
    <row r="1938" spans="3:3" ht="15">
      <c r="C1938" s="4"/>
    </row>
    <row r="1939" spans="3:3" ht="15">
      <c r="C1939" s="4"/>
    </row>
    <row r="1940" spans="3:3" ht="15">
      <c r="C1940" s="4"/>
    </row>
    <row r="1941" spans="3:3" ht="15">
      <c r="C1941" s="4"/>
    </row>
    <row r="1942" spans="3:3" ht="15">
      <c r="C1942" s="4"/>
    </row>
    <row r="1943" spans="3:3" ht="15">
      <c r="C1943" s="4"/>
    </row>
    <row r="1944" spans="3:3" ht="15">
      <c r="C1944" s="4"/>
    </row>
    <row r="1945" spans="3:3" ht="15">
      <c r="C1945" s="4"/>
    </row>
    <row r="1946" spans="3:3" ht="15">
      <c r="C1946" s="4"/>
    </row>
    <row r="1947" spans="3:3" ht="15">
      <c r="C1947" s="4"/>
    </row>
    <row r="1948" spans="3:3" ht="15">
      <c r="C1948" s="4"/>
    </row>
    <row r="1949" spans="3:3" ht="15">
      <c r="C1949" s="4"/>
    </row>
    <row r="1950" spans="3:3" ht="15">
      <c r="C1950" s="4"/>
    </row>
    <row r="1951" spans="3:3" ht="15">
      <c r="C1951" s="4"/>
    </row>
    <row r="1952" spans="3:3" ht="15">
      <c r="C1952" s="4"/>
    </row>
    <row r="1953" spans="3:3" ht="15">
      <c r="C1953" s="4"/>
    </row>
    <row r="1954" spans="3:3" ht="15">
      <c r="C1954" s="4"/>
    </row>
    <row r="1955" spans="3:3" ht="15">
      <c r="C1955" s="4"/>
    </row>
    <row r="1956" spans="3:3" ht="15">
      <c r="C1956" s="4"/>
    </row>
    <row r="1957" spans="3:3" ht="15">
      <c r="C1957" s="4"/>
    </row>
    <row r="1958" spans="3:3" ht="15">
      <c r="C1958" s="4"/>
    </row>
    <row r="1959" spans="3:3" ht="15">
      <c r="C1959" s="4"/>
    </row>
    <row r="1960" spans="3:3" ht="15">
      <c r="C1960" s="4"/>
    </row>
    <row r="1961" spans="3:3" ht="15">
      <c r="C1961" s="4"/>
    </row>
    <row r="1962" spans="3:3" ht="15">
      <c r="C1962" s="4"/>
    </row>
    <row r="1963" spans="3:3" ht="15">
      <c r="C1963" s="4"/>
    </row>
    <row r="1964" spans="3:3" ht="15">
      <c r="C1964" s="4"/>
    </row>
    <row r="1965" spans="3:3" ht="15">
      <c r="C1965" s="4"/>
    </row>
    <row r="1966" spans="3:3" ht="15">
      <c r="C1966" s="4"/>
    </row>
    <row r="1967" spans="3:3" ht="15">
      <c r="C1967" s="4"/>
    </row>
    <row r="1968" spans="3:3" ht="15">
      <c r="C1968" s="4"/>
    </row>
    <row r="1969" spans="3:3" ht="15">
      <c r="C1969" s="4"/>
    </row>
    <row r="1970" spans="3:3" ht="15">
      <c r="C1970" s="4"/>
    </row>
    <row r="1971" spans="3:3" ht="15">
      <c r="C1971" s="4"/>
    </row>
    <row r="1972" spans="3:3" ht="15">
      <c r="C1972" s="4"/>
    </row>
    <row r="1973" spans="3:3" ht="15">
      <c r="C1973" s="4"/>
    </row>
    <row r="1974" spans="3:3" ht="15">
      <c r="C1974" s="4"/>
    </row>
    <row r="1975" spans="3:3" ht="15">
      <c r="C1975" s="4"/>
    </row>
    <row r="1976" spans="3:3" ht="15">
      <c r="C1976" s="4"/>
    </row>
    <row r="1977" spans="3:3" ht="15">
      <c r="C1977" s="4"/>
    </row>
    <row r="1978" spans="3:3" ht="15">
      <c r="C1978" s="4"/>
    </row>
    <row r="1979" spans="3:3" ht="15">
      <c r="C1979" s="4"/>
    </row>
    <row r="1980" spans="3:3" ht="15">
      <c r="C1980" s="4"/>
    </row>
    <row r="1981" spans="3:3" ht="15">
      <c r="C1981" s="4"/>
    </row>
    <row r="1982" spans="3:3" ht="15">
      <c r="C1982" s="4"/>
    </row>
    <row r="1983" spans="3:3" ht="15">
      <c r="C1983" s="4"/>
    </row>
    <row r="1984" spans="3:3" ht="15">
      <c r="C1984" s="4"/>
    </row>
    <row r="1985" spans="3:3" ht="15">
      <c r="C1985" s="4"/>
    </row>
    <row r="1986" spans="3:3" ht="15">
      <c r="C1986" s="4"/>
    </row>
    <row r="1987" spans="3:3" ht="15">
      <c r="C1987" s="4"/>
    </row>
    <row r="1988" spans="3:3" ht="15">
      <c r="C1988" s="4"/>
    </row>
    <row r="1989" spans="3:3" ht="15">
      <c r="C1989" s="4"/>
    </row>
    <row r="1990" spans="3:3" ht="15">
      <c r="C1990" s="4"/>
    </row>
    <row r="1991" spans="3:3" ht="15">
      <c r="C1991" s="4"/>
    </row>
    <row r="1992" spans="3:3" ht="15">
      <c r="C1992" s="4"/>
    </row>
    <row r="1993" spans="3:3" ht="15">
      <c r="C1993" s="4"/>
    </row>
    <row r="1994" spans="3:3" ht="15">
      <c r="C1994" s="4"/>
    </row>
    <row r="1995" spans="3:3" ht="15">
      <c r="C1995" s="4"/>
    </row>
    <row r="1996" spans="3:3" ht="15">
      <c r="C1996" s="4"/>
    </row>
    <row r="1997" spans="3:3" ht="15">
      <c r="C1997" s="4"/>
    </row>
    <row r="1998" spans="3:3" ht="15">
      <c r="C1998" s="4"/>
    </row>
    <row r="1999" spans="3:3" ht="15">
      <c r="C1999" s="4"/>
    </row>
    <row r="2000" spans="3:3" ht="15">
      <c r="C2000" s="4"/>
    </row>
    <row r="2001" spans="3:3" ht="15">
      <c r="C2001" s="4"/>
    </row>
    <row r="2002" spans="3:3" ht="15">
      <c r="C2002" s="4"/>
    </row>
    <row r="2003" spans="3:3" ht="15">
      <c r="C2003" s="4"/>
    </row>
    <row r="2004" spans="3:3" ht="15">
      <c r="C2004" s="4"/>
    </row>
    <row r="2005" spans="3:3" ht="15">
      <c r="C2005" s="4"/>
    </row>
    <row r="2006" spans="3:3" ht="15">
      <c r="C2006" s="4"/>
    </row>
    <row r="2007" spans="3:3" ht="15">
      <c r="C2007" s="4"/>
    </row>
    <row r="2008" spans="3:3" ht="15">
      <c r="C2008" s="4"/>
    </row>
    <row r="2009" spans="3:3" ht="15">
      <c r="C2009" s="4"/>
    </row>
    <row r="2010" spans="3:3" ht="15">
      <c r="C2010" s="4"/>
    </row>
    <row r="2011" spans="3:3" ht="15">
      <c r="C2011" s="4"/>
    </row>
    <row r="2012" spans="3:3" ht="15">
      <c r="C2012" s="4"/>
    </row>
    <row r="2013" spans="3:3" ht="15">
      <c r="C2013" s="4"/>
    </row>
    <row r="2014" spans="3:3" ht="15">
      <c r="C2014" s="4"/>
    </row>
    <row r="2015" spans="3:3" ht="15">
      <c r="C2015" s="4"/>
    </row>
    <row r="2016" spans="3:3" ht="15">
      <c r="C2016" s="4"/>
    </row>
    <row r="2017" spans="3:3" ht="15">
      <c r="C2017" s="4"/>
    </row>
    <row r="2018" spans="3:3" ht="15">
      <c r="C2018" s="4"/>
    </row>
    <row r="2019" spans="3:3" ht="15">
      <c r="C2019" s="4"/>
    </row>
    <row r="2020" spans="3:3" ht="15">
      <c r="C2020" s="4"/>
    </row>
    <row r="2021" spans="3:3" ht="15">
      <c r="C2021" s="4"/>
    </row>
    <row r="2022" spans="3:3" ht="15">
      <c r="C2022" s="4"/>
    </row>
    <row r="2023" spans="3:3" ht="15">
      <c r="C2023" s="4"/>
    </row>
    <row r="2024" spans="3:3" ht="15">
      <c r="C2024" s="4"/>
    </row>
    <row r="2025" spans="3:3" ht="15">
      <c r="C2025" s="4"/>
    </row>
    <row r="2026" spans="3:3" ht="15">
      <c r="C2026" s="4"/>
    </row>
    <row r="2027" spans="3:3" ht="15">
      <c r="C2027" s="4"/>
    </row>
    <row r="2028" spans="3:3" ht="15">
      <c r="C2028" s="4"/>
    </row>
    <row r="2029" spans="3:3" ht="15">
      <c r="C2029" s="4"/>
    </row>
    <row r="2030" spans="3:3" ht="15">
      <c r="C2030" s="4"/>
    </row>
    <row r="2031" spans="3:3" ht="15">
      <c r="C2031" s="4"/>
    </row>
    <row r="2032" spans="3:3" ht="15">
      <c r="C2032" s="4"/>
    </row>
    <row r="2033" spans="3:3" ht="15">
      <c r="C2033" s="4"/>
    </row>
    <row r="2034" spans="3:3" ht="15">
      <c r="C2034" s="4"/>
    </row>
    <row r="2035" spans="3:3" ht="15">
      <c r="C2035" s="4"/>
    </row>
    <row r="2036" spans="3:3" ht="15">
      <c r="C2036" s="4"/>
    </row>
    <row r="2037" spans="3:3" ht="15">
      <c r="C2037" s="4"/>
    </row>
    <row r="2038" spans="3:3" ht="15">
      <c r="C2038" s="4"/>
    </row>
    <row r="2039" spans="3:3" ht="15">
      <c r="C2039" s="4"/>
    </row>
    <row r="2040" spans="3:3" ht="15">
      <c r="C2040" s="4"/>
    </row>
    <row r="2041" spans="3:3" ht="15">
      <c r="C2041" s="4"/>
    </row>
    <row r="2042" spans="3:3" ht="15">
      <c r="C2042" s="4"/>
    </row>
    <row r="2043" spans="3:3" ht="15">
      <c r="C2043" s="4"/>
    </row>
    <row r="2044" spans="3:3" ht="15">
      <c r="C2044" s="4"/>
    </row>
    <row r="2045" spans="3:3" ht="15">
      <c r="C2045" s="4"/>
    </row>
    <row r="2046" spans="3:3" ht="15">
      <c r="C2046" s="4"/>
    </row>
    <row r="2047" spans="3:3" ht="15">
      <c r="C2047" s="4"/>
    </row>
    <row r="2048" spans="3:3" ht="15">
      <c r="C2048" s="4"/>
    </row>
    <row r="2049" spans="3:3" ht="15">
      <c r="C2049" s="4"/>
    </row>
    <row r="2050" spans="3:3" ht="15">
      <c r="C2050" s="4"/>
    </row>
    <row r="2051" spans="3:3" ht="15">
      <c r="C2051" s="4"/>
    </row>
    <row r="2052" spans="3:3" ht="15">
      <c r="C2052" s="4"/>
    </row>
    <row r="2053" spans="3:3" ht="15">
      <c r="C2053" s="4"/>
    </row>
    <row r="2054" spans="3:3" ht="15">
      <c r="C2054" s="4"/>
    </row>
    <row r="2055" spans="3:3" ht="15">
      <c r="C2055" s="4"/>
    </row>
    <row r="2056" spans="3:3" ht="15">
      <c r="C2056" s="4"/>
    </row>
    <row r="2057" spans="3:3" ht="15">
      <c r="C2057" s="4"/>
    </row>
    <row r="2058" spans="3:3" ht="15">
      <c r="C2058" s="4"/>
    </row>
    <row r="2059" spans="3:3" ht="15">
      <c r="C2059" s="4"/>
    </row>
    <row r="2060" spans="3:3" ht="15">
      <c r="C2060" s="4"/>
    </row>
    <row r="2061" spans="3:3" ht="15">
      <c r="C2061" s="4"/>
    </row>
    <row r="2062" spans="3:3" ht="15">
      <c r="C2062" s="4"/>
    </row>
    <row r="2063" spans="3:3" ht="15">
      <c r="C2063" s="4"/>
    </row>
    <row r="2064" spans="3:3" ht="15">
      <c r="C2064" s="4"/>
    </row>
    <row r="2065" spans="3:3" ht="15">
      <c r="C2065" s="4"/>
    </row>
    <row r="2066" spans="3:3" ht="15">
      <c r="C2066" s="4"/>
    </row>
    <row r="2067" spans="3:3" ht="15">
      <c r="C2067" s="4"/>
    </row>
    <row r="2068" spans="3:3" ht="15">
      <c r="C2068" s="4"/>
    </row>
    <row r="2069" spans="3:3" ht="15">
      <c r="C2069" s="4"/>
    </row>
    <row r="2070" spans="3:3" ht="15">
      <c r="C2070" s="4"/>
    </row>
    <row r="2071" spans="3:3" ht="15">
      <c r="C2071" s="4"/>
    </row>
    <row r="2072" spans="3:3" ht="15">
      <c r="C2072" s="4"/>
    </row>
    <row r="2073" spans="3:3" ht="15">
      <c r="C2073" s="4"/>
    </row>
    <row r="2074" spans="3:3" ht="15">
      <c r="C2074" s="4"/>
    </row>
    <row r="2075" spans="3:3" ht="15">
      <c r="C2075" s="4"/>
    </row>
    <row r="2076" spans="3:3" ht="15">
      <c r="C2076" s="4"/>
    </row>
    <row r="2077" spans="3:3" ht="15">
      <c r="C2077" s="4"/>
    </row>
    <row r="2078" spans="3:3" ht="15">
      <c r="C2078" s="4"/>
    </row>
    <row r="2079" spans="3:3" ht="15">
      <c r="C2079" s="4"/>
    </row>
    <row r="2080" spans="3:3" ht="15">
      <c r="C2080" s="4"/>
    </row>
    <row r="2081" spans="3:3" ht="15">
      <c r="C2081" s="4"/>
    </row>
    <row r="2082" spans="3:3" ht="15">
      <c r="C2082" s="4"/>
    </row>
    <row r="2083" spans="3:3" ht="15">
      <c r="C2083" s="4"/>
    </row>
    <row r="2084" spans="3:3" ht="15">
      <c r="C2084" s="4"/>
    </row>
    <row r="2085" spans="3:3" ht="15">
      <c r="C2085" s="4"/>
    </row>
    <row r="2086" spans="3:3" ht="15">
      <c r="C2086" s="4"/>
    </row>
    <row r="2087" spans="3:3" ht="15">
      <c r="C2087" s="4"/>
    </row>
    <row r="2088" spans="3:3" ht="15">
      <c r="C2088" s="4"/>
    </row>
    <row r="2089" spans="3:3" ht="15">
      <c r="C2089" s="4"/>
    </row>
    <row r="2090" spans="3:3" ht="15">
      <c r="C2090" s="4"/>
    </row>
    <row r="2091" spans="3:3" ht="15">
      <c r="C2091" s="4"/>
    </row>
    <row r="2092" spans="3:3" ht="15">
      <c r="C2092" s="4"/>
    </row>
    <row r="2093" spans="3:3" ht="15">
      <c r="C2093" s="4"/>
    </row>
    <row r="2094" spans="3:3" ht="15">
      <c r="C2094" s="4"/>
    </row>
    <row r="2095" spans="3:3" ht="15">
      <c r="C2095" s="4"/>
    </row>
    <row r="2096" spans="3:3" ht="15">
      <c r="C2096" s="4"/>
    </row>
    <row r="2097" spans="3:3" ht="15">
      <c r="C2097" s="4"/>
    </row>
    <row r="2098" spans="3:3" ht="15">
      <c r="C2098" s="4"/>
    </row>
    <row r="2099" spans="3:3" ht="15">
      <c r="C2099" s="4"/>
    </row>
    <row r="2100" spans="3:3" ht="15">
      <c r="C2100" s="4"/>
    </row>
    <row r="2101" spans="3:3" ht="15">
      <c r="C2101" s="4"/>
    </row>
    <row r="2102" spans="3:3" ht="15">
      <c r="C2102" s="4"/>
    </row>
    <row r="2103" spans="3:3" ht="15">
      <c r="C2103" s="4"/>
    </row>
    <row r="2104" spans="3:3" ht="15">
      <c r="C2104" s="4"/>
    </row>
    <row r="2105" spans="3:3" ht="15">
      <c r="C2105" s="4"/>
    </row>
    <row r="2106" spans="3:3" ht="15">
      <c r="C2106" s="4"/>
    </row>
    <row r="2107" spans="3:3" ht="15">
      <c r="C2107" s="4"/>
    </row>
    <row r="2108" spans="3:3" ht="15">
      <c r="C2108" s="4"/>
    </row>
    <row r="2109" spans="3:3" ht="15">
      <c r="C2109" s="4"/>
    </row>
    <row r="2110" spans="3:3" ht="15">
      <c r="C2110" s="4"/>
    </row>
    <row r="2111" spans="3:3" ht="15">
      <c r="C2111" s="4"/>
    </row>
    <row r="2112" spans="3:3" ht="15">
      <c r="C2112" s="4"/>
    </row>
    <row r="2113" spans="3:3" ht="15">
      <c r="C2113" s="4"/>
    </row>
    <row r="2114" spans="3:3" ht="15">
      <c r="C2114" s="4"/>
    </row>
    <row r="2115" spans="3:3" ht="15">
      <c r="C2115" s="4"/>
    </row>
    <row r="2116" spans="3:3" ht="15">
      <c r="C2116" s="4"/>
    </row>
    <row r="2117" spans="3:3" ht="15">
      <c r="C2117" s="4"/>
    </row>
    <row r="2118" spans="3:3" ht="15">
      <c r="C2118" s="4"/>
    </row>
    <row r="2119" spans="3:3" ht="15">
      <c r="C2119" s="4"/>
    </row>
    <row r="2120" spans="3:3" ht="15">
      <c r="C2120" s="4"/>
    </row>
    <row r="2121" spans="3:3" ht="15">
      <c r="C2121" s="4"/>
    </row>
    <row r="2122" spans="3:3" ht="15">
      <c r="C2122" s="4"/>
    </row>
    <row r="2123" spans="3:3" ht="15">
      <c r="C2123" s="4"/>
    </row>
    <row r="2124" spans="3:3" ht="15">
      <c r="C2124" s="4"/>
    </row>
    <row r="2125" spans="3:3" ht="15">
      <c r="C2125" s="4"/>
    </row>
    <row r="2126" spans="3:3" ht="15">
      <c r="C2126" s="4"/>
    </row>
    <row r="2127" spans="3:3" ht="15">
      <c r="C2127" s="4"/>
    </row>
    <row r="2128" spans="3:3" ht="15">
      <c r="C2128" s="4"/>
    </row>
    <row r="2129" spans="3:3" ht="15">
      <c r="C2129" s="4"/>
    </row>
    <row r="2130" spans="3:3" ht="15">
      <c r="C2130" s="4"/>
    </row>
    <row r="2131" spans="3:3" ht="15">
      <c r="C2131" s="4"/>
    </row>
    <row r="2132" spans="3:3" ht="15">
      <c r="C2132" s="4"/>
    </row>
    <row r="2133" spans="3:3" ht="15">
      <c r="C2133" s="4"/>
    </row>
    <row r="2134" spans="3:3" ht="15">
      <c r="C2134" s="4"/>
    </row>
    <row r="2135" spans="3:3" ht="15">
      <c r="C2135" s="4"/>
    </row>
    <row r="2136" spans="3:3" ht="15">
      <c r="C2136" s="4"/>
    </row>
    <row r="2137" spans="3:3" ht="15">
      <c r="C2137" s="4"/>
    </row>
    <row r="2138" spans="3:3" ht="15">
      <c r="C2138" s="4"/>
    </row>
    <row r="2139" spans="3:3" ht="15">
      <c r="C2139" s="4"/>
    </row>
    <row r="2140" spans="3:3" ht="15">
      <c r="C2140" s="4"/>
    </row>
    <row r="2141" spans="3:3" ht="15">
      <c r="C2141" s="4"/>
    </row>
    <row r="2142" spans="3:3" ht="15">
      <c r="C2142" s="4"/>
    </row>
    <row r="2143" spans="3:3" ht="15">
      <c r="C2143" s="4"/>
    </row>
    <row r="2144" spans="3:3" ht="15">
      <c r="C2144" s="4"/>
    </row>
    <row r="2145" spans="3:3" ht="15">
      <c r="C2145" s="4"/>
    </row>
    <row r="2146" spans="3:3" ht="15">
      <c r="C2146" s="4"/>
    </row>
    <row r="2147" spans="3:3" ht="15">
      <c r="C2147" s="4"/>
    </row>
    <row r="2148" spans="3:3" ht="15">
      <c r="C2148" s="4"/>
    </row>
    <row r="2149" spans="3:3" ht="15">
      <c r="C2149" s="4"/>
    </row>
    <row r="2150" spans="3:3" ht="15">
      <c r="C2150" s="4"/>
    </row>
    <row r="2151" spans="3:3" ht="15">
      <c r="C2151" s="4"/>
    </row>
    <row r="2152" spans="3:3" ht="15">
      <c r="C2152" s="4"/>
    </row>
    <row r="2153" spans="3:3" ht="15">
      <c r="C2153" s="4"/>
    </row>
    <row r="2154" spans="3:3" ht="15">
      <c r="C2154" s="4"/>
    </row>
    <row r="2155" spans="3:3" ht="15">
      <c r="C2155" s="4"/>
    </row>
    <row r="2156" spans="3:3" ht="15">
      <c r="C2156" s="4"/>
    </row>
    <row r="2157" spans="3:3" ht="15">
      <c r="C2157" s="4"/>
    </row>
    <row r="2158" spans="3:3" ht="15">
      <c r="C2158" s="4"/>
    </row>
    <row r="2159" spans="3:3" ht="15">
      <c r="C2159" s="4"/>
    </row>
    <row r="2160" spans="3:3" ht="15">
      <c r="C2160" s="4"/>
    </row>
    <row r="2161" spans="3:3" ht="15">
      <c r="C2161" s="4"/>
    </row>
    <row r="2162" spans="3:3" ht="15">
      <c r="C2162" s="4"/>
    </row>
    <row r="2163" spans="3:3" ht="15">
      <c r="C2163" s="4"/>
    </row>
    <row r="2164" spans="3:3" ht="15">
      <c r="C2164" s="4"/>
    </row>
    <row r="2165" spans="3:3" ht="15">
      <c r="C2165" s="4"/>
    </row>
    <row r="2166" spans="3:3" ht="15">
      <c r="C2166" s="4"/>
    </row>
    <row r="2167" spans="3:3" ht="15">
      <c r="C2167" s="4"/>
    </row>
    <row r="2168" spans="3:3" ht="15">
      <c r="C2168" s="4"/>
    </row>
    <row r="2169" spans="3:3" ht="15">
      <c r="C2169" s="4"/>
    </row>
    <row r="2170" spans="3:3" ht="15">
      <c r="C2170" s="4"/>
    </row>
    <row r="2171" spans="3:3" ht="15">
      <c r="C2171" s="4"/>
    </row>
    <row r="2172" spans="3:3" ht="15">
      <c r="C2172" s="4"/>
    </row>
    <row r="2173" spans="3:3" ht="15">
      <c r="C2173" s="4"/>
    </row>
    <row r="2174" spans="3:3" ht="15">
      <c r="C2174" s="4"/>
    </row>
    <row r="2175" spans="3:3" ht="15">
      <c r="C2175" s="4"/>
    </row>
    <row r="2176" spans="3:3" ht="15">
      <c r="C2176" s="4"/>
    </row>
    <row r="2177" spans="3:3" ht="15">
      <c r="C2177" s="4"/>
    </row>
    <row r="2178" spans="3:3" ht="15">
      <c r="C2178" s="4"/>
    </row>
    <row r="2179" spans="3:3" ht="15">
      <c r="C2179" s="4"/>
    </row>
    <row r="2180" spans="3:3" ht="15">
      <c r="C2180" s="4"/>
    </row>
    <row r="2181" spans="3:3" ht="15">
      <c r="C2181" s="4"/>
    </row>
    <row r="2182" spans="3:3" ht="15">
      <c r="C2182" s="4"/>
    </row>
    <row r="2183" spans="3:3" ht="15">
      <c r="C2183" s="4"/>
    </row>
    <row r="2184" spans="3:3" ht="15">
      <c r="C2184" s="4"/>
    </row>
    <row r="2185" spans="3:3" ht="15">
      <c r="C2185" s="4"/>
    </row>
    <row r="2186" spans="3:3" ht="15">
      <c r="C2186" s="4"/>
    </row>
    <row r="2187" spans="3:3" ht="15">
      <c r="C2187" s="4"/>
    </row>
    <row r="2188" spans="3:3" ht="15">
      <c r="C2188" s="4"/>
    </row>
    <row r="2189" spans="3:3" ht="15">
      <c r="C2189" s="4"/>
    </row>
    <row r="2190" spans="3:3" ht="15">
      <c r="C2190" s="4"/>
    </row>
    <row r="2191" spans="3:3" ht="15">
      <c r="C2191" s="4"/>
    </row>
    <row r="2192" spans="3:3" ht="15">
      <c r="C2192" s="4"/>
    </row>
    <row r="2193" spans="3:3" ht="15">
      <c r="C2193" s="4"/>
    </row>
    <row r="2194" spans="3:3" ht="15">
      <c r="C2194" s="4"/>
    </row>
    <row r="2195" spans="3:3" ht="15">
      <c r="C2195" s="4"/>
    </row>
    <row r="2196" spans="3:3" ht="15">
      <c r="C2196" s="4"/>
    </row>
    <row r="2197" spans="3:3" ht="15">
      <c r="C2197" s="4"/>
    </row>
    <row r="2198" spans="3:3" ht="15">
      <c r="C2198" s="4"/>
    </row>
    <row r="2199" spans="3:3" ht="15">
      <c r="C2199" s="4"/>
    </row>
    <row r="2200" spans="3:3" ht="15">
      <c r="C2200" s="4"/>
    </row>
    <row r="2201" spans="3:3" ht="15">
      <c r="C2201" s="4"/>
    </row>
    <row r="2202" spans="3:3" ht="15">
      <c r="C2202" s="4"/>
    </row>
    <row r="2203" spans="3:3" ht="15">
      <c r="C2203" s="4"/>
    </row>
    <row r="2204" spans="3:3" ht="15">
      <c r="C2204" s="4"/>
    </row>
    <row r="2205" spans="3:3" ht="15">
      <c r="C2205" s="4"/>
    </row>
    <row r="2206" spans="3:3" ht="15">
      <c r="C2206" s="4"/>
    </row>
    <row r="2207" spans="3:3" ht="15">
      <c r="C2207" s="4"/>
    </row>
    <row r="2208" spans="3:3" ht="15">
      <c r="C2208" s="4"/>
    </row>
    <row r="2209" spans="3:3" ht="15">
      <c r="C2209" s="4"/>
    </row>
    <row r="2210" spans="3:3" ht="15">
      <c r="C2210" s="4"/>
    </row>
    <row r="2211" spans="3:3" ht="15">
      <c r="C2211" s="4"/>
    </row>
    <row r="2212" spans="3:3" ht="15">
      <c r="C2212" s="4"/>
    </row>
    <row r="2213" spans="3:3" ht="15">
      <c r="C2213" s="4"/>
    </row>
    <row r="2214" spans="3:3" ht="15">
      <c r="C2214" s="4"/>
    </row>
    <row r="2215" spans="3:3" ht="15">
      <c r="C2215" s="4"/>
    </row>
    <row r="2216" spans="3:3" ht="15">
      <c r="C2216" s="4"/>
    </row>
    <row r="2217" spans="3:3" ht="15">
      <c r="C2217" s="4"/>
    </row>
    <row r="2218" spans="3:3" ht="15">
      <c r="C2218" s="4"/>
    </row>
    <row r="2219" spans="3:3" ht="15">
      <c r="C2219" s="4"/>
    </row>
    <row r="2220" spans="3:3" ht="15">
      <c r="C2220" s="4"/>
    </row>
    <row r="2221" spans="3:3" ht="15">
      <c r="C2221" s="4"/>
    </row>
    <row r="2222" spans="3:3" ht="15">
      <c r="C2222" s="4"/>
    </row>
    <row r="2223" spans="3:3" ht="15">
      <c r="C2223" s="4"/>
    </row>
    <row r="2224" spans="3:3" ht="15">
      <c r="C2224" s="4"/>
    </row>
    <row r="2225" spans="3:3" ht="15">
      <c r="C2225" s="4"/>
    </row>
    <row r="2226" spans="3:3" ht="15">
      <c r="C2226" s="4"/>
    </row>
    <row r="2227" spans="3:3" ht="15">
      <c r="C2227" s="4"/>
    </row>
    <row r="2228" spans="3:3" ht="15">
      <c r="C2228" s="4"/>
    </row>
    <row r="2229" spans="3:3" ht="15">
      <c r="C2229" s="4"/>
    </row>
    <row r="2230" spans="3:3" ht="15">
      <c r="C2230" s="4"/>
    </row>
    <row r="2231" spans="3:3" ht="15">
      <c r="C2231" s="4"/>
    </row>
    <row r="2232" spans="3:3" ht="15">
      <c r="C2232" s="4"/>
    </row>
    <row r="2233" spans="3:3" ht="15">
      <c r="C2233" s="4"/>
    </row>
    <row r="2234" spans="3:3" ht="15">
      <c r="C2234" s="4"/>
    </row>
    <row r="2235" spans="3:3" ht="15">
      <c r="C2235" s="4"/>
    </row>
    <row r="2236" spans="3:3" ht="15">
      <c r="C2236" s="4"/>
    </row>
    <row r="2237" spans="3:3" ht="15">
      <c r="C2237" s="4"/>
    </row>
    <row r="2238" spans="3:3" ht="15">
      <c r="C2238" s="4"/>
    </row>
    <row r="2239" spans="3:3" ht="15">
      <c r="C2239" s="4"/>
    </row>
    <row r="2240" spans="3:3" ht="15">
      <c r="C2240" s="4"/>
    </row>
    <row r="2241" spans="3:3" ht="15">
      <c r="C2241" s="4"/>
    </row>
    <row r="2242" spans="3:3" ht="15">
      <c r="C2242" s="4"/>
    </row>
    <row r="2243" spans="3:3" ht="15">
      <c r="C2243" s="4"/>
    </row>
    <row r="2244" spans="3:3" ht="15">
      <c r="C2244" s="4"/>
    </row>
    <row r="2245" spans="3:3" ht="15">
      <c r="C2245" s="4"/>
    </row>
    <row r="2246" spans="3:3" ht="15">
      <c r="C2246" s="4"/>
    </row>
    <row r="2247" spans="3:3" ht="15">
      <c r="C2247" s="4"/>
    </row>
    <row r="2248" spans="3:3" ht="15">
      <c r="C2248" s="4"/>
    </row>
    <row r="2249" spans="3:3" ht="15">
      <c r="C2249" s="4"/>
    </row>
    <row r="2250" spans="3:3" ht="15">
      <c r="C2250" s="4"/>
    </row>
    <row r="2251" spans="3:3" ht="15">
      <c r="C2251" s="4"/>
    </row>
    <row r="2252" spans="3:3" ht="15">
      <c r="C2252" s="4"/>
    </row>
    <row r="2253" spans="3:3" ht="15">
      <c r="C2253" s="4"/>
    </row>
    <row r="2254" spans="3:3" ht="15">
      <c r="C2254" s="4"/>
    </row>
    <row r="2255" spans="3:3" ht="15">
      <c r="C2255" s="4"/>
    </row>
    <row r="2256" spans="3:3" ht="15">
      <c r="C2256" s="4"/>
    </row>
    <row r="2257" spans="3:3" ht="15">
      <c r="C2257" s="4"/>
    </row>
    <row r="2258" spans="3:3" ht="15">
      <c r="C2258" s="4"/>
    </row>
    <row r="2259" spans="3:3" ht="15">
      <c r="C2259" s="4"/>
    </row>
    <row r="2260" spans="3:3" ht="15">
      <c r="C2260" s="4"/>
    </row>
    <row r="2261" spans="3:3" ht="15">
      <c r="C2261" s="4"/>
    </row>
    <row r="2262" spans="3:3" ht="15">
      <c r="C2262" s="4"/>
    </row>
    <row r="2263" spans="3:3" ht="15">
      <c r="C2263" s="4"/>
    </row>
    <row r="2264" spans="3:3" ht="15">
      <c r="C2264" s="4"/>
    </row>
    <row r="2265" spans="3:3" ht="15">
      <c r="C2265" s="4"/>
    </row>
    <row r="2266" spans="3:3" ht="15">
      <c r="C2266" s="4"/>
    </row>
    <row r="2267" spans="3:3" ht="15">
      <c r="C2267" s="4"/>
    </row>
    <row r="2268" spans="3:3" ht="15">
      <c r="C2268" s="4"/>
    </row>
    <row r="2269" spans="3:3" ht="15">
      <c r="C2269" s="4"/>
    </row>
    <row r="2270" spans="3:3" ht="15">
      <c r="C2270" s="4"/>
    </row>
    <row r="2271" spans="3:3" ht="15">
      <c r="C2271" s="4"/>
    </row>
    <row r="2272" spans="3:3" ht="15">
      <c r="C2272" s="4"/>
    </row>
    <row r="2273" spans="3:3" ht="15">
      <c r="C2273" s="4"/>
    </row>
    <row r="2274" spans="3:3" ht="15">
      <c r="C2274" s="4"/>
    </row>
    <row r="2275" spans="3:3" ht="15">
      <c r="C2275" s="4"/>
    </row>
    <row r="2276" spans="3:3" ht="15">
      <c r="C2276" s="4"/>
    </row>
    <row r="2277" spans="3:3" ht="15">
      <c r="C2277" s="4"/>
    </row>
    <row r="2278" spans="3:3" ht="15">
      <c r="C2278" s="4"/>
    </row>
    <row r="2279" spans="3:3" ht="15">
      <c r="C2279" s="4"/>
    </row>
    <row r="2280" spans="3:3" ht="15">
      <c r="C2280" s="4"/>
    </row>
    <row r="2281" spans="3:3" ht="15">
      <c r="C2281" s="4"/>
    </row>
    <row r="2282" spans="3:3" ht="15">
      <c r="C2282" s="4"/>
    </row>
    <row r="2283" spans="3:3" ht="15">
      <c r="C2283" s="4"/>
    </row>
    <row r="2284" spans="3:3" ht="15">
      <c r="C2284" s="4"/>
    </row>
    <row r="2285" spans="3:3" ht="15">
      <c r="C2285" s="4"/>
    </row>
    <row r="2286" spans="3:3" ht="15">
      <c r="C2286" s="4"/>
    </row>
    <row r="2287" spans="3:3" ht="15">
      <c r="C2287" s="4"/>
    </row>
    <row r="2288" spans="3:3" ht="15">
      <c r="C2288" s="4"/>
    </row>
    <row r="2289" spans="3:3" ht="15">
      <c r="C2289" s="4"/>
    </row>
    <row r="2290" spans="3:3" ht="15">
      <c r="C2290" s="4"/>
    </row>
    <row r="2291" spans="3:3" ht="15">
      <c r="C2291" s="4"/>
    </row>
    <row r="2292" spans="3:3" ht="15">
      <c r="C2292" s="4"/>
    </row>
    <row r="2293" spans="3:3" ht="15">
      <c r="C2293" s="4"/>
    </row>
    <row r="2294" spans="3:3" ht="15">
      <c r="C2294" s="4"/>
    </row>
    <row r="2295" spans="3:3" ht="15">
      <c r="C2295" s="4"/>
    </row>
    <row r="2296" spans="3:3" ht="15">
      <c r="C2296" s="4"/>
    </row>
    <row r="2297" spans="3:3" ht="15">
      <c r="C2297" s="4"/>
    </row>
    <row r="2298" spans="3:3" ht="15">
      <c r="C2298" s="4"/>
    </row>
    <row r="2299" spans="3:3" ht="15">
      <c r="C2299" s="4"/>
    </row>
    <row r="2300" spans="3:3" ht="15">
      <c r="C2300" s="4"/>
    </row>
    <row r="2301" spans="3:3" ht="15">
      <c r="C2301" s="4"/>
    </row>
    <row r="2302" spans="3:3" ht="15">
      <c r="C2302" s="4"/>
    </row>
    <row r="2303" spans="3:3" ht="15">
      <c r="C2303" s="4"/>
    </row>
    <row r="2304" spans="3:3" ht="15">
      <c r="C2304" s="4"/>
    </row>
    <row r="2305" spans="3:3" ht="15">
      <c r="C2305" s="4"/>
    </row>
    <row r="2306" spans="3:3" ht="15">
      <c r="C2306" s="4"/>
    </row>
    <row r="2307" spans="3:3" ht="15">
      <c r="C2307" s="4"/>
    </row>
    <row r="2308" spans="3:3" ht="15">
      <c r="C2308" s="4"/>
    </row>
    <row r="2309" spans="3:3" ht="15">
      <c r="C2309" s="4"/>
    </row>
    <row r="2310" spans="3:3" ht="15">
      <c r="C2310" s="4"/>
    </row>
    <row r="2311" spans="3:3" ht="15">
      <c r="C2311" s="4"/>
    </row>
    <row r="2312" spans="3:3" ht="15">
      <c r="C2312" s="4"/>
    </row>
    <row r="2313" spans="3:3" ht="15">
      <c r="C2313" s="4"/>
    </row>
    <row r="2314" spans="3:3" ht="15">
      <c r="C2314" s="4"/>
    </row>
    <row r="2315" spans="3:3" ht="15">
      <c r="C2315" s="4"/>
    </row>
    <row r="2316" spans="3:3" ht="15">
      <c r="C2316" s="4"/>
    </row>
    <row r="2317" spans="3:3" ht="15">
      <c r="C2317" s="4"/>
    </row>
    <row r="2318" spans="3:3" ht="15">
      <c r="C2318" s="4"/>
    </row>
    <row r="2319" spans="3:3" ht="15">
      <c r="C2319" s="4"/>
    </row>
    <row r="2320" spans="3:3" ht="15">
      <c r="C2320" s="4"/>
    </row>
    <row r="2321" spans="3:3" ht="15">
      <c r="C2321" s="4"/>
    </row>
    <row r="2322" spans="3:3" ht="15">
      <c r="C2322" s="4"/>
    </row>
    <row r="2323" spans="3:3" ht="15">
      <c r="C2323" s="4"/>
    </row>
    <row r="2324" spans="3:3" ht="15">
      <c r="C2324" s="4"/>
    </row>
    <row r="2325" spans="3:3" ht="15">
      <c r="C2325" s="4"/>
    </row>
    <row r="2326" spans="3:3" ht="15">
      <c r="C2326" s="4"/>
    </row>
    <row r="2327" spans="3:3" ht="15">
      <c r="C2327" s="4"/>
    </row>
    <row r="2328" spans="3:3" ht="15">
      <c r="C2328" s="4"/>
    </row>
    <row r="2329" spans="3:3" ht="15">
      <c r="C2329" s="4"/>
    </row>
    <row r="2330" spans="3:3" ht="15">
      <c r="C2330" s="4"/>
    </row>
    <row r="2331" spans="3:3" ht="15">
      <c r="C2331" s="4"/>
    </row>
    <row r="2332" spans="3:3" ht="15">
      <c r="C2332" s="4"/>
    </row>
    <row r="2333" spans="3:3" ht="15">
      <c r="C2333" s="4"/>
    </row>
    <row r="2334" spans="3:3" ht="15">
      <c r="C2334" s="4"/>
    </row>
    <row r="2335" spans="3:3" ht="15">
      <c r="C2335" s="4"/>
    </row>
    <row r="2336" spans="3:3" ht="15">
      <c r="C2336" s="4"/>
    </row>
    <row r="2337" spans="3:3" ht="15">
      <c r="C2337" s="4"/>
    </row>
    <row r="2338" spans="3:3" ht="15">
      <c r="C2338" s="4"/>
    </row>
    <row r="2339" spans="3:3" ht="15">
      <c r="C2339" s="4"/>
    </row>
    <row r="2340" spans="3:3" ht="15">
      <c r="C2340" s="4"/>
    </row>
    <row r="2341" spans="3:3" ht="15">
      <c r="C2341" s="4"/>
    </row>
    <row r="2342" spans="3:3" ht="15">
      <c r="C2342" s="4"/>
    </row>
    <row r="2343" spans="3:3" ht="15">
      <c r="C2343" s="4"/>
    </row>
    <row r="2344" spans="3:3" ht="15">
      <c r="C2344" s="4"/>
    </row>
    <row r="2345" spans="3:3" ht="15">
      <c r="C2345" s="4"/>
    </row>
    <row r="2346" spans="3:3" ht="15">
      <c r="C2346" s="4"/>
    </row>
    <row r="2347" spans="3:3" ht="15">
      <c r="C2347" s="4"/>
    </row>
    <row r="2348" spans="3:3" ht="15">
      <c r="C2348" s="4"/>
    </row>
    <row r="2349" spans="3:3" ht="15">
      <c r="C2349" s="4"/>
    </row>
    <row r="2350" spans="3:3" ht="15">
      <c r="C2350" s="4"/>
    </row>
    <row r="2351" spans="3:3" ht="15">
      <c r="C2351" s="4"/>
    </row>
    <row r="2352" spans="3:3" ht="15">
      <c r="C2352" s="4"/>
    </row>
    <row r="2353" spans="3:3" ht="15">
      <c r="C2353" s="4"/>
    </row>
    <row r="2354" spans="3:3" ht="15">
      <c r="C2354" s="4"/>
    </row>
    <row r="2355" spans="3:3" ht="15">
      <c r="C2355" s="4"/>
    </row>
    <row r="2356" spans="3:3" ht="15">
      <c r="C2356" s="4"/>
    </row>
    <row r="2357" spans="3:3" ht="15">
      <c r="C2357" s="4"/>
    </row>
    <row r="2358" spans="3:3" ht="15">
      <c r="C2358" s="4"/>
    </row>
    <row r="2359" spans="3:3" ht="15">
      <c r="C2359" s="4"/>
    </row>
    <row r="2360" spans="3:3" ht="15">
      <c r="C2360" s="4"/>
    </row>
    <row r="2361" spans="3:3" ht="15">
      <c r="C2361" s="4"/>
    </row>
    <row r="2362" spans="3:3" ht="15">
      <c r="C2362" s="4"/>
    </row>
    <row r="2363" spans="3:3" ht="15">
      <c r="C2363" s="4"/>
    </row>
    <row r="2364" spans="3:3" ht="15">
      <c r="C2364" s="4"/>
    </row>
    <row r="2365" spans="3:3" ht="15">
      <c r="C2365" s="4"/>
    </row>
    <row r="2366" spans="3:3" ht="15">
      <c r="C2366" s="4"/>
    </row>
  </sheetData>
  <mergeCells count="4">
    <mergeCell ref="A1:F1"/>
    <mergeCell ref="A2:F2"/>
    <mergeCell ref="A3:F3"/>
    <mergeCell ref="A4:F4"/>
  </mergeCells>
  <phoneticPr fontId="13" type="noConversion"/>
  <pageMargins left="0.75" right="0.5" top="1" bottom="0.5" header="0.5" footer="0.5"/>
  <pageSetup scale="89" orientation="portrait" horizontalDpi="4294967295" verticalDpi="4294967295" r:id="rId1"/>
  <headerFooter alignWithMargins="0"/>
  <rowBreaks count="4" manualBreakCount="4">
    <brk id="52" max="5" man="1"/>
    <brk id="97" max="5" man="1"/>
    <brk id="142" max="5" man="1"/>
    <brk id="187" max="5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022"/>
  <sheetViews>
    <sheetView topLeftCell="A4" workbookViewId="0">
      <selection activeCell="H91" sqref="H91"/>
    </sheetView>
  </sheetViews>
  <sheetFormatPr defaultColWidth="7.85546875" defaultRowHeight="12.75"/>
  <cols>
    <col min="1" max="1" width="42.85546875" style="1" customWidth="1"/>
    <col min="2" max="4" width="12.5703125" style="1" customWidth="1"/>
    <col min="5" max="5" width="13.42578125" style="1" customWidth="1"/>
    <col min="6" max="6" width="14" style="1" customWidth="1"/>
    <col min="7" max="7" width="13.7109375" style="1" customWidth="1"/>
    <col min="8" max="8" width="12.5703125" style="1" customWidth="1"/>
    <col min="9" max="9" width="13.7109375" style="1" customWidth="1"/>
    <col min="10" max="16384" width="7.85546875" style="1"/>
  </cols>
  <sheetData>
    <row r="1" spans="1:10" s="29" customFormat="1" ht="15.75">
      <c r="A1" s="209" t="s">
        <v>0</v>
      </c>
      <c r="B1" s="209"/>
      <c r="C1" s="209"/>
      <c r="D1" s="209"/>
      <c r="E1" s="209"/>
      <c r="F1" s="209"/>
      <c r="G1" s="209"/>
      <c r="H1" s="209"/>
      <c r="I1" s="209"/>
    </row>
    <row r="2" spans="1:10" s="29" customFormat="1" ht="15.7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29" customFormat="1" ht="15.75">
      <c r="A3" s="208" t="s">
        <v>32</v>
      </c>
      <c r="B3" s="208"/>
      <c r="C3" s="208"/>
      <c r="D3" s="208"/>
      <c r="E3" s="208"/>
      <c r="F3" s="208"/>
      <c r="G3" s="208"/>
      <c r="H3" s="208"/>
      <c r="I3" s="208"/>
    </row>
    <row r="4" spans="1:10" s="187" customFormat="1" ht="15.75">
      <c r="A4" s="211" t="s">
        <v>182</v>
      </c>
      <c r="B4" s="211"/>
      <c r="C4" s="211"/>
      <c r="D4" s="211"/>
      <c r="E4" s="211"/>
      <c r="F4" s="211"/>
      <c r="G4" s="211"/>
      <c r="H4" s="211"/>
      <c r="I4" s="211"/>
    </row>
    <row r="5" spans="1:10" s="188" customFormat="1" ht="15.75">
      <c r="A5" s="211"/>
      <c r="B5" s="211"/>
      <c r="C5" s="211"/>
      <c r="D5" s="211"/>
      <c r="E5" s="211"/>
      <c r="F5" s="211"/>
      <c r="G5" s="211"/>
      <c r="H5" s="211"/>
    </row>
    <row r="6" spans="1:10" s="188" customFormat="1" ht="15.75">
      <c r="A6" s="32"/>
      <c r="B6" s="209" t="s">
        <v>180</v>
      </c>
      <c r="C6" s="209"/>
      <c r="D6" s="209"/>
      <c r="E6" s="210" t="s">
        <v>176</v>
      </c>
      <c r="F6" s="210"/>
      <c r="G6" s="210" t="s">
        <v>167</v>
      </c>
      <c r="H6" s="210"/>
      <c r="I6" s="210"/>
      <c r="J6" s="205"/>
    </row>
    <row r="7" spans="1:10" s="188" customFormat="1" ht="20.25">
      <c r="A7" s="34" t="s">
        <v>5</v>
      </c>
      <c r="B7" s="184" t="s">
        <v>168</v>
      </c>
      <c r="C7" s="184" t="s">
        <v>169</v>
      </c>
      <c r="D7" s="184" t="s">
        <v>170</v>
      </c>
      <c r="E7" s="184" t="s">
        <v>171</v>
      </c>
      <c r="F7" s="184" t="s">
        <v>172</v>
      </c>
      <c r="G7" s="184" t="s">
        <v>173</v>
      </c>
      <c r="H7" s="184" t="s">
        <v>174</v>
      </c>
      <c r="I7" s="184" t="s">
        <v>175</v>
      </c>
      <c r="J7" s="185"/>
    </row>
    <row r="8" spans="1:10" s="188" customFormat="1" ht="15.75">
      <c r="A8" s="16" t="s">
        <v>7</v>
      </c>
      <c r="B8" s="17"/>
      <c r="C8" s="17"/>
      <c r="D8" s="17"/>
      <c r="E8" s="17"/>
      <c r="F8" s="17"/>
      <c r="G8" s="17"/>
      <c r="H8" s="4"/>
      <c r="I8" s="4"/>
      <c r="J8" s="4"/>
    </row>
    <row r="9" spans="1:10" s="188" customFormat="1" ht="15.75">
      <c r="A9" s="17" t="s">
        <v>8</v>
      </c>
      <c r="B9" s="17">
        <v>142344190</v>
      </c>
      <c r="C9" s="17">
        <v>161291823</v>
      </c>
      <c r="D9" s="17">
        <v>188639493</v>
      </c>
      <c r="E9" s="17">
        <v>196927470</v>
      </c>
      <c r="F9" s="17">
        <v>202239926</v>
      </c>
      <c r="G9" s="4">
        <v>210329523</v>
      </c>
      <c r="H9" s="4">
        <v>218742704</v>
      </c>
      <c r="I9" s="4">
        <v>227099817</v>
      </c>
    </row>
    <row r="10" spans="1:10" s="188" customFormat="1" ht="15.75">
      <c r="A10" s="17" t="s">
        <v>9</v>
      </c>
      <c r="B10" s="6">
        <v>39047728</v>
      </c>
      <c r="C10" s="6">
        <v>37024657</v>
      </c>
      <c r="D10" s="6">
        <v>29889734</v>
      </c>
      <c r="E10" s="6">
        <v>21406193</v>
      </c>
      <c r="F10" s="6">
        <v>25582599</v>
      </c>
      <c r="G10" s="4">
        <v>26605903</v>
      </c>
      <c r="H10" s="4">
        <v>27670139</v>
      </c>
      <c r="I10" s="4">
        <v>28300000</v>
      </c>
    </row>
    <row r="11" spans="1:10" s="188" customFormat="1" ht="18">
      <c r="A11" s="17" t="s">
        <v>10</v>
      </c>
      <c r="B11" s="20">
        <v>1528521</v>
      </c>
      <c r="C11" s="20">
        <v>2143513</v>
      </c>
      <c r="D11" s="20">
        <v>4682220</v>
      </c>
      <c r="E11" s="20">
        <v>3037655</v>
      </c>
      <c r="F11" s="20">
        <v>3038992</v>
      </c>
      <c r="G11" s="57">
        <v>3160552</v>
      </c>
      <c r="H11" s="204">
        <v>3286974</v>
      </c>
      <c r="I11" s="57">
        <v>3300000</v>
      </c>
    </row>
    <row r="12" spans="1:10" s="188" customFormat="1" ht="15.75">
      <c r="A12" s="17"/>
      <c r="B12" s="17"/>
      <c r="C12" s="17"/>
      <c r="D12" s="17"/>
      <c r="E12" s="17"/>
      <c r="F12" s="17"/>
      <c r="G12" s="4"/>
      <c r="H12" s="4"/>
      <c r="I12" s="4"/>
    </row>
    <row r="13" spans="1:10" s="188" customFormat="1" ht="18">
      <c r="A13" s="17" t="s">
        <v>11</v>
      </c>
      <c r="B13" s="20">
        <f t="shared" ref="B13:F13" si="0">SUM(B9:B11)</f>
        <v>182920439</v>
      </c>
      <c r="C13" s="20">
        <f t="shared" si="0"/>
        <v>200459993</v>
      </c>
      <c r="D13" s="20">
        <f t="shared" si="0"/>
        <v>223211447</v>
      </c>
      <c r="E13" s="20">
        <f t="shared" si="0"/>
        <v>221371318</v>
      </c>
      <c r="F13" s="20">
        <f t="shared" si="0"/>
        <v>230861517</v>
      </c>
      <c r="G13" s="57">
        <f>SUM(G9:G11)</f>
        <v>240095978</v>
      </c>
      <c r="H13" s="57">
        <f>SUM(H9:H11)</f>
        <v>249699817</v>
      </c>
      <c r="I13" s="57">
        <f>SUM(I9:I11)</f>
        <v>258699817</v>
      </c>
    </row>
    <row r="14" spans="1:10" s="188" customFormat="1" ht="15.75">
      <c r="A14" s="182"/>
    </row>
    <row r="15" spans="1:10" s="188" customFormat="1" ht="15.75">
      <c r="A15" s="183" t="s">
        <v>5</v>
      </c>
    </row>
    <row r="16" spans="1:10" s="4" customFormat="1" ht="15">
      <c r="A16" s="186" t="s">
        <v>34</v>
      </c>
      <c r="B16" s="12"/>
      <c r="C16" s="12"/>
    </row>
    <row r="17" spans="1:9" s="4" customFormat="1" ht="15">
      <c r="A17" s="12" t="s">
        <v>35</v>
      </c>
      <c r="B17" s="12">
        <v>108068037.57000007</v>
      </c>
      <c r="C17" s="12">
        <v>113702498.06000014</v>
      </c>
      <c r="D17" s="12">
        <f>121084082</f>
        <v>121084082</v>
      </c>
      <c r="E17" s="12">
        <v>136716180</v>
      </c>
      <c r="F17" s="12">
        <v>140719538</v>
      </c>
      <c r="G17" s="12">
        <v>132841925</v>
      </c>
      <c r="H17" s="12">
        <v>138639979</v>
      </c>
      <c r="I17" s="12">
        <f>+H17*1.035</f>
        <v>143492378.26499999</v>
      </c>
    </row>
    <row r="18" spans="1:9" s="4" customFormat="1" ht="15">
      <c r="A18" s="12" t="s">
        <v>36</v>
      </c>
      <c r="B18" s="4">
        <v>501067.56</v>
      </c>
      <c r="C18" s="4">
        <v>604165.91999999969</v>
      </c>
      <c r="D18" s="4">
        <v>543283</v>
      </c>
      <c r="E18" s="12">
        <v>1026782</v>
      </c>
      <c r="F18" s="12">
        <v>941108</v>
      </c>
      <c r="G18" s="12">
        <v>741108</v>
      </c>
      <c r="H18" s="12">
        <f t="shared" ref="H18:H22" si="1">+G18</f>
        <v>741108</v>
      </c>
      <c r="I18" s="12">
        <f t="shared" ref="G18:I22" si="2">H18</f>
        <v>741108</v>
      </c>
    </row>
    <row r="19" spans="1:9" s="4" customFormat="1" ht="15">
      <c r="A19" s="12" t="s">
        <v>37</v>
      </c>
      <c r="B19" s="4">
        <v>2489439.2800000017</v>
      </c>
      <c r="C19" s="4">
        <v>2826535.75</v>
      </c>
      <c r="D19" s="4">
        <v>3165112</v>
      </c>
      <c r="E19" s="12">
        <v>3946955</v>
      </c>
      <c r="F19" s="12">
        <v>3691708</v>
      </c>
      <c r="G19" s="12">
        <v>3104146</v>
      </c>
      <c r="H19" s="12">
        <f t="shared" si="1"/>
        <v>3104146</v>
      </c>
      <c r="I19" s="12">
        <f>H19</f>
        <v>3104146</v>
      </c>
    </row>
    <row r="20" spans="1:9" s="4" customFormat="1" ht="15">
      <c r="A20" s="12" t="s">
        <v>38</v>
      </c>
      <c r="B20" s="12">
        <v>222614.41</v>
      </c>
      <c r="C20" s="12">
        <v>208355.05999999997</v>
      </c>
      <c r="D20" s="12">
        <v>241551</v>
      </c>
      <c r="E20" s="12">
        <v>334285</v>
      </c>
      <c r="F20" s="12">
        <v>345705</v>
      </c>
      <c r="G20" s="12">
        <v>245750</v>
      </c>
      <c r="H20" s="12">
        <f t="shared" si="1"/>
        <v>245750</v>
      </c>
      <c r="I20" s="12">
        <f>H20</f>
        <v>245750</v>
      </c>
    </row>
    <row r="21" spans="1:9" s="4" customFormat="1" ht="15">
      <c r="A21" s="12" t="s">
        <v>39</v>
      </c>
      <c r="B21" s="12">
        <v>0</v>
      </c>
      <c r="C21" s="12">
        <v>0</v>
      </c>
      <c r="D21" s="12">
        <v>0</v>
      </c>
      <c r="E21" s="12">
        <f>D21</f>
        <v>0</v>
      </c>
      <c r="F21" s="12">
        <f>E21</f>
        <v>0</v>
      </c>
      <c r="G21" s="12">
        <f t="shared" si="2"/>
        <v>0</v>
      </c>
      <c r="H21" s="12">
        <f t="shared" si="1"/>
        <v>0</v>
      </c>
      <c r="I21" s="12">
        <f t="shared" si="2"/>
        <v>0</v>
      </c>
    </row>
    <row r="22" spans="1:9" s="4" customFormat="1" ht="17.25">
      <c r="A22" s="12" t="s">
        <v>40</v>
      </c>
      <c r="B22" s="189">
        <v>32270</v>
      </c>
      <c r="C22" s="189">
        <v>19150</v>
      </c>
      <c r="D22" s="189">
        <v>36351</v>
      </c>
      <c r="E22" s="106">
        <v>0</v>
      </c>
      <c r="F22" s="106">
        <v>200</v>
      </c>
      <c r="G22" s="106">
        <f t="shared" si="2"/>
        <v>200</v>
      </c>
      <c r="H22" s="106">
        <f t="shared" si="1"/>
        <v>200</v>
      </c>
      <c r="I22" s="106">
        <f t="shared" si="2"/>
        <v>200</v>
      </c>
    </row>
    <row r="23" spans="1:9" s="4" customFormat="1" ht="15">
      <c r="A23" s="12" t="s">
        <v>42</v>
      </c>
      <c r="B23" s="189">
        <f t="shared" ref="B23:I23" si="3">SUM(B17:B22)</f>
        <v>111313428.82000007</v>
      </c>
      <c r="C23" s="189">
        <f t="shared" si="3"/>
        <v>117360704.79000014</v>
      </c>
      <c r="D23" s="189">
        <f>SUM(D17:D22)+1</f>
        <v>125070380</v>
      </c>
      <c r="E23" s="189">
        <f t="shared" si="3"/>
        <v>142024202</v>
      </c>
      <c r="F23" s="189">
        <f t="shared" si="3"/>
        <v>145698259</v>
      </c>
      <c r="G23" s="189">
        <f t="shared" si="3"/>
        <v>136933129</v>
      </c>
      <c r="H23" s="189">
        <f t="shared" si="3"/>
        <v>142731183</v>
      </c>
      <c r="I23" s="189">
        <f t="shared" si="3"/>
        <v>147583582.26499999</v>
      </c>
    </row>
    <row r="24" spans="1:9" s="4" customFormat="1" ht="15">
      <c r="A24" s="186"/>
      <c r="B24" s="189"/>
      <c r="C24" s="189"/>
      <c r="D24" s="189"/>
      <c r="E24" s="189"/>
      <c r="F24" s="189"/>
      <c r="G24" s="189"/>
      <c r="H24" s="189"/>
      <c r="I24" s="189"/>
    </row>
    <row r="25" spans="1:9" s="4" customFormat="1" ht="15">
      <c r="A25" s="186" t="s">
        <v>41</v>
      </c>
      <c r="B25" s="12"/>
      <c r="C25" s="12"/>
      <c r="D25" s="12"/>
      <c r="E25" s="12"/>
      <c r="F25" s="12"/>
      <c r="G25" s="12"/>
      <c r="H25" s="12"/>
      <c r="I25" s="12"/>
    </row>
    <row r="26" spans="1:9" s="4" customFormat="1" ht="15">
      <c r="A26" s="12" t="s">
        <v>35</v>
      </c>
      <c r="B26" s="4">
        <v>2004662.1300000006</v>
      </c>
      <c r="C26" s="4">
        <v>1993876.6900000002</v>
      </c>
      <c r="D26" s="4">
        <v>2161027</v>
      </c>
      <c r="E26" s="12">
        <v>2304013</v>
      </c>
      <c r="F26" s="12">
        <v>2236877</v>
      </c>
      <c r="G26" s="12">
        <v>2013189</v>
      </c>
      <c r="H26" s="12">
        <v>2130000</v>
      </c>
      <c r="I26" s="12">
        <f>+H26*1.04</f>
        <v>2215200</v>
      </c>
    </row>
    <row r="27" spans="1:9" s="4" customFormat="1" ht="15">
      <c r="A27" s="12" t="s">
        <v>36</v>
      </c>
      <c r="B27" s="4">
        <v>51932.090000000004</v>
      </c>
      <c r="C27" s="4">
        <v>44838.67</v>
      </c>
      <c r="D27" s="4">
        <v>11178</v>
      </c>
      <c r="E27" s="12">
        <v>55756</v>
      </c>
      <c r="F27" s="12">
        <v>66144</v>
      </c>
      <c r="G27" s="12">
        <f t="shared" ref="G27:I31" si="4">F27</f>
        <v>66144</v>
      </c>
      <c r="H27" s="12">
        <f t="shared" ref="H27:H30" si="5">+G27</f>
        <v>66144</v>
      </c>
      <c r="I27" s="12">
        <f t="shared" si="4"/>
        <v>66144</v>
      </c>
    </row>
    <row r="28" spans="1:9" s="4" customFormat="1" ht="15">
      <c r="A28" s="12" t="s">
        <v>37</v>
      </c>
      <c r="B28" s="4">
        <v>383271.8899999999</v>
      </c>
      <c r="C28" s="4">
        <v>364557.16000000003</v>
      </c>
      <c r="D28" s="4">
        <v>390857</v>
      </c>
      <c r="E28" s="12">
        <v>425780</v>
      </c>
      <c r="F28" s="12">
        <v>428898</v>
      </c>
      <c r="G28" s="12">
        <v>386008</v>
      </c>
      <c r="H28" s="12">
        <f t="shared" si="5"/>
        <v>386008</v>
      </c>
      <c r="I28" s="12">
        <f t="shared" si="4"/>
        <v>386008</v>
      </c>
    </row>
    <row r="29" spans="1:9" s="4" customFormat="1" ht="15">
      <c r="A29" s="12" t="s">
        <v>38</v>
      </c>
      <c r="B29" s="4">
        <v>10626.41</v>
      </c>
      <c r="C29" s="4">
        <v>10221.529999999999</v>
      </c>
      <c r="D29" s="4">
        <v>20015</v>
      </c>
      <c r="E29" s="12">
        <v>24989</v>
      </c>
      <c r="F29" s="12">
        <v>32396</v>
      </c>
      <c r="G29" s="12">
        <f t="shared" si="4"/>
        <v>32396</v>
      </c>
      <c r="H29" s="12">
        <f t="shared" si="5"/>
        <v>32396</v>
      </c>
      <c r="I29" s="12">
        <f t="shared" si="4"/>
        <v>32396</v>
      </c>
    </row>
    <row r="30" spans="1:9" s="4" customFormat="1" ht="15">
      <c r="A30" s="12" t="s">
        <v>39</v>
      </c>
      <c r="B30" s="12">
        <v>0</v>
      </c>
      <c r="C30" s="12">
        <v>0</v>
      </c>
      <c r="D30" s="12">
        <v>0</v>
      </c>
      <c r="E30" s="12">
        <f>D30</f>
        <v>0</v>
      </c>
      <c r="F30" s="12">
        <f>E30</f>
        <v>0</v>
      </c>
      <c r="G30" s="12">
        <f t="shared" si="4"/>
        <v>0</v>
      </c>
      <c r="H30" s="12">
        <f t="shared" si="5"/>
        <v>0</v>
      </c>
      <c r="I30" s="12">
        <f t="shared" si="4"/>
        <v>0</v>
      </c>
    </row>
    <row r="31" spans="1:9" s="4" customFormat="1" ht="17.25">
      <c r="A31" s="12" t="s">
        <v>40</v>
      </c>
      <c r="B31" s="189">
        <v>0</v>
      </c>
      <c r="C31" s="189">
        <v>0</v>
      </c>
      <c r="D31" s="189">
        <v>0</v>
      </c>
      <c r="E31" s="106">
        <f>D31</f>
        <v>0</v>
      </c>
      <c r="F31" s="106">
        <f>E31</f>
        <v>0</v>
      </c>
      <c r="G31" s="106">
        <f t="shared" si="4"/>
        <v>0</v>
      </c>
      <c r="H31" s="106">
        <f t="shared" si="4"/>
        <v>0</v>
      </c>
      <c r="I31" s="106">
        <f t="shared" si="4"/>
        <v>0</v>
      </c>
    </row>
    <row r="32" spans="1:9" s="4" customFormat="1" ht="15">
      <c r="A32" s="12" t="s">
        <v>42</v>
      </c>
      <c r="B32" s="189">
        <f t="shared" ref="B32:I32" si="6">SUM(B26:B31)</f>
        <v>2450492.5200000005</v>
      </c>
      <c r="C32" s="189">
        <f t="shared" si="6"/>
        <v>2413494.0499999998</v>
      </c>
      <c r="D32" s="189">
        <f>SUM(D26:D31)</f>
        <v>2583077</v>
      </c>
      <c r="E32" s="189">
        <f>SUM(E26:E31)-1</f>
        <v>2810537</v>
      </c>
      <c r="F32" s="189">
        <f t="shared" si="6"/>
        <v>2764315</v>
      </c>
      <c r="G32" s="189">
        <f t="shared" si="6"/>
        <v>2497737</v>
      </c>
      <c r="H32" s="189">
        <f t="shared" si="6"/>
        <v>2614548</v>
      </c>
      <c r="I32" s="189">
        <f t="shared" si="6"/>
        <v>2699748</v>
      </c>
    </row>
    <row r="33" spans="1:9" s="4" customFormat="1" ht="15">
      <c r="A33" s="186"/>
      <c r="B33" s="189"/>
      <c r="C33" s="189"/>
      <c r="D33" s="189"/>
      <c r="E33" s="189"/>
      <c r="F33" s="189"/>
      <c r="G33" s="189"/>
      <c r="H33" s="189"/>
      <c r="I33" s="189"/>
    </row>
    <row r="34" spans="1:9" s="4" customFormat="1" ht="15">
      <c r="A34" s="186" t="s">
        <v>43</v>
      </c>
      <c r="B34" s="12"/>
      <c r="C34" s="12"/>
      <c r="D34" s="12"/>
      <c r="E34" s="12"/>
      <c r="F34" s="12"/>
      <c r="G34" s="12"/>
      <c r="H34" s="12"/>
      <c r="I34" s="12"/>
    </row>
    <row r="35" spans="1:9" s="4" customFormat="1" ht="15">
      <c r="A35" s="12" t="s">
        <v>35</v>
      </c>
      <c r="B35" s="4">
        <v>4219554.2800000021</v>
      </c>
      <c r="C35" s="4">
        <v>4537396.9799999977</v>
      </c>
      <c r="D35" s="4">
        <v>7321857</v>
      </c>
      <c r="E35" s="12">
        <v>8267712</v>
      </c>
      <c r="F35" s="12">
        <v>5219136</v>
      </c>
      <c r="G35" s="12">
        <v>3797222</v>
      </c>
      <c r="H35" s="12">
        <v>4100000</v>
      </c>
      <c r="I35" s="12">
        <f>+H35*1.04</f>
        <v>4264000</v>
      </c>
    </row>
    <row r="36" spans="1:9" s="4" customFormat="1" ht="15">
      <c r="A36" s="12" t="s">
        <v>36</v>
      </c>
      <c r="B36" s="4">
        <v>435134.23000000004</v>
      </c>
      <c r="C36" s="4">
        <v>450056.39999999997</v>
      </c>
      <c r="D36" s="4">
        <v>530737</v>
      </c>
      <c r="E36" s="12">
        <v>481783</v>
      </c>
      <c r="F36" s="12">
        <v>683473</v>
      </c>
      <c r="G36" s="12">
        <v>583473</v>
      </c>
      <c r="H36" s="12">
        <v>683473</v>
      </c>
      <c r="I36" s="12">
        <f t="shared" ref="I36:I37" si="7">H36</f>
        <v>683473</v>
      </c>
    </row>
    <row r="37" spans="1:9" s="4" customFormat="1" ht="15">
      <c r="A37" s="12" t="s">
        <v>37</v>
      </c>
      <c r="B37" s="4">
        <v>339208.58999999991</v>
      </c>
      <c r="C37" s="4">
        <v>228198.02999999997</v>
      </c>
      <c r="D37" s="4">
        <v>195967</v>
      </c>
      <c r="E37" s="12">
        <v>253125</v>
      </c>
      <c r="F37" s="12">
        <v>298867</v>
      </c>
      <c r="G37" s="12">
        <v>268980</v>
      </c>
      <c r="H37" s="12">
        <f t="shared" ref="H37:H40" si="8">+G37</f>
        <v>268980</v>
      </c>
      <c r="I37" s="12">
        <f t="shared" si="7"/>
        <v>268980</v>
      </c>
    </row>
    <row r="38" spans="1:9" s="4" customFormat="1" ht="15">
      <c r="A38" s="12" t="s">
        <v>38</v>
      </c>
      <c r="B38" s="4">
        <v>517212.17000000016</v>
      </c>
      <c r="C38" s="4">
        <v>554702.15</v>
      </c>
      <c r="D38" s="4">
        <v>660551</v>
      </c>
      <c r="E38" s="12">
        <v>720039</v>
      </c>
      <c r="F38" s="12">
        <v>815821</v>
      </c>
      <c r="G38" s="12">
        <v>515821</v>
      </c>
      <c r="H38" s="12">
        <v>415821</v>
      </c>
      <c r="I38" s="12">
        <f>G38</f>
        <v>515821</v>
      </c>
    </row>
    <row r="39" spans="1:9" s="4" customFormat="1" ht="15">
      <c r="A39" s="12" t="s">
        <v>39</v>
      </c>
      <c r="B39" s="12">
        <v>0</v>
      </c>
      <c r="C39" s="12">
        <v>0</v>
      </c>
      <c r="D39" s="12">
        <v>0</v>
      </c>
      <c r="E39" s="12">
        <f>D39</f>
        <v>0</v>
      </c>
      <c r="F39" s="12">
        <f>E39</f>
        <v>0</v>
      </c>
      <c r="G39" s="12">
        <f t="shared" ref="G39:I40" si="9">F39</f>
        <v>0</v>
      </c>
      <c r="H39" s="12">
        <f t="shared" si="8"/>
        <v>0</v>
      </c>
      <c r="I39" s="12">
        <f t="shared" si="9"/>
        <v>0</v>
      </c>
    </row>
    <row r="40" spans="1:9" s="4" customFormat="1" ht="17.25">
      <c r="A40" s="12" t="s">
        <v>40</v>
      </c>
      <c r="B40" s="189">
        <v>0</v>
      </c>
      <c r="C40" s="189">
        <v>0</v>
      </c>
      <c r="D40" s="189">
        <v>6420</v>
      </c>
      <c r="E40" s="106">
        <v>0</v>
      </c>
      <c r="F40" s="106">
        <f>E40</f>
        <v>0</v>
      </c>
      <c r="G40" s="106">
        <f t="shared" si="9"/>
        <v>0</v>
      </c>
      <c r="H40" s="106">
        <f t="shared" si="8"/>
        <v>0</v>
      </c>
      <c r="I40" s="106">
        <f t="shared" si="9"/>
        <v>0</v>
      </c>
    </row>
    <row r="41" spans="1:9" s="4" customFormat="1" ht="15">
      <c r="A41" s="12" t="s">
        <v>42</v>
      </c>
      <c r="B41" s="189">
        <f t="shared" ref="B41:I41" si="10">SUM(B35:B40)</f>
        <v>5511109.2700000023</v>
      </c>
      <c r="C41" s="189">
        <f t="shared" si="10"/>
        <v>5770353.5599999987</v>
      </c>
      <c r="D41" s="189">
        <f>SUM(D35:D40)</f>
        <v>8715532</v>
      </c>
      <c r="E41" s="189">
        <f>SUM(E35:E40)-1</f>
        <v>9722658</v>
      </c>
      <c r="F41" s="189">
        <f t="shared" si="10"/>
        <v>7017297</v>
      </c>
      <c r="G41" s="189">
        <f t="shared" si="10"/>
        <v>5165496</v>
      </c>
      <c r="H41" s="189">
        <f t="shared" si="10"/>
        <v>5468274</v>
      </c>
      <c r="I41" s="189">
        <f t="shared" si="10"/>
        <v>5732274</v>
      </c>
    </row>
    <row r="42" spans="1:9" s="4" customFormat="1" ht="15">
      <c r="A42" s="186"/>
      <c r="B42" s="189"/>
      <c r="C42" s="189"/>
      <c r="D42" s="189"/>
      <c r="E42" s="189"/>
      <c r="F42" s="189"/>
      <c r="G42" s="189"/>
      <c r="H42" s="189"/>
      <c r="I42" s="189"/>
    </row>
    <row r="43" spans="1:9" s="4" customFormat="1" ht="15">
      <c r="A43" s="186" t="s">
        <v>44</v>
      </c>
      <c r="B43" s="12"/>
      <c r="C43" s="12"/>
      <c r="D43" s="12"/>
      <c r="E43" s="12"/>
      <c r="F43" s="12"/>
      <c r="G43" s="12"/>
      <c r="H43" s="12"/>
      <c r="I43" s="12"/>
    </row>
    <row r="44" spans="1:9" s="4" customFormat="1" ht="15">
      <c r="A44" s="12" t="s">
        <v>35</v>
      </c>
      <c r="B44" s="4">
        <v>965092.32000000018</v>
      </c>
      <c r="C44" s="4">
        <v>1191565.8900000001</v>
      </c>
      <c r="D44" s="4">
        <v>1760223</v>
      </c>
      <c r="E44" s="12">
        <v>2145547</v>
      </c>
      <c r="F44" s="12">
        <v>2176480</v>
      </c>
      <c r="G44" s="12">
        <v>2176480</v>
      </c>
      <c r="H44" s="12">
        <v>2547153</v>
      </c>
      <c r="I44" s="12">
        <f>+H44*1.4</f>
        <v>3566014.1999999997</v>
      </c>
    </row>
    <row r="45" spans="1:9" s="4" customFormat="1" ht="15">
      <c r="A45" s="12" t="s">
        <v>36</v>
      </c>
      <c r="B45" s="4">
        <v>33034.740000000005</v>
      </c>
      <c r="C45" s="4">
        <v>79401.62999999999</v>
      </c>
      <c r="D45" s="4">
        <v>52127</v>
      </c>
      <c r="E45" s="12">
        <v>55380</v>
      </c>
      <c r="F45" s="12">
        <v>6050</v>
      </c>
      <c r="G45" s="12">
        <f t="shared" ref="G45:I49" si="11">F45</f>
        <v>6050</v>
      </c>
      <c r="H45" s="12">
        <f t="shared" ref="H45:H49" si="12">+G45</f>
        <v>6050</v>
      </c>
      <c r="I45" s="12">
        <f t="shared" si="11"/>
        <v>6050</v>
      </c>
    </row>
    <row r="46" spans="1:9" s="4" customFormat="1" ht="15">
      <c r="A46" s="12" t="s">
        <v>37</v>
      </c>
      <c r="B46" s="4">
        <v>69931.02</v>
      </c>
      <c r="C46" s="4">
        <v>108090.69</v>
      </c>
      <c r="D46" s="4">
        <v>177621</v>
      </c>
      <c r="E46" s="12">
        <v>137675</v>
      </c>
      <c r="F46" s="12">
        <v>76079</v>
      </c>
      <c r="G46" s="12">
        <v>68479</v>
      </c>
      <c r="H46" s="12">
        <f t="shared" si="12"/>
        <v>68479</v>
      </c>
      <c r="I46" s="12">
        <f t="shared" si="11"/>
        <v>68479</v>
      </c>
    </row>
    <row r="47" spans="1:9" s="4" customFormat="1" ht="15">
      <c r="A47" s="12" t="s">
        <v>38</v>
      </c>
      <c r="B47" s="4">
        <v>43574.28</v>
      </c>
      <c r="C47" s="4">
        <v>56779.519999999997</v>
      </c>
      <c r="D47" s="4">
        <v>65564</v>
      </c>
      <c r="E47" s="12">
        <v>58250</v>
      </c>
      <c r="F47" s="12">
        <v>44347</v>
      </c>
      <c r="G47" s="12">
        <v>34347</v>
      </c>
      <c r="H47" s="12">
        <f t="shared" si="12"/>
        <v>34347</v>
      </c>
      <c r="I47" s="12">
        <f t="shared" si="11"/>
        <v>34347</v>
      </c>
    </row>
    <row r="48" spans="1:9" s="4" customFormat="1" ht="15">
      <c r="A48" s="12" t="s">
        <v>39</v>
      </c>
      <c r="B48" s="12">
        <v>0</v>
      </c>
      <c r="C48" s="12">
        <v>0</v>
      </c>
      <c r="D48" s="12">
        <v>0</v>
      </c>
      <c r="E48" s="12">
        <f>D48</f>
        <v>0</v>
      </c>
      <c r="F48" s="12">
        <f>E48</f>
        <v>0</v>
      </c>
      <c r="G48" s="12">
        <f t="shared" si="11"/>
        <v>0</v>
      </c>
      <c r="H48" s="12">
        <f t="shared" si="12"/>
        <v>0</v>
      </c>
      <c r="I48" s="12">
        <f t="shared" si="11"/>
        <v>0</v>
      </c>
    </row>
    <row r="49" spans="1:9" s="4" customFormat="1" ht="17.25">
      <c r="A49" s="12" t="s">
        <v>40</v>
      </c>
      <c r="B49" s="189">
        <v>0</v>
      </c>
      <c r="C49" s="189">
        <v>0</v>
      </c>
      <c r="D49" s="189">
        <v>0</v>
      </c>
      <c r="E49" s="106">
        <f>D49</f>
        <v>0</v>
      </c>
      <c r="F49" s="106">
        <f>E49</f>
        <v>0</v>
      </c>
      <c r="G49" s="106">
        <f t="shared" si="11"/>
        <v>0</v>
      </c>
      <c r="H49" s="106">
        <f t="shared" si="12"/>
        <v>0</v>
      </c>
      <c r="I49" s="106">
        <f t="shared" si="11"/>
        <v>0</v>
      </c>
    </row>
    <row r="50" spans="1:9" s="4" customFormat="1" ht="15">
      <c r="A50" s="12" t="s">
        <v>42</v>
      </c>
      <c r="B50" s="189">
        <f t="shared" ref="B50:I50" si="13">SUM(B44:B49)</f>
        <v>1111632.3600000001</v>
      </c>
      <c r="C50" s="189">
        <f t="shared" si="13"/>
        <v>1435837.73</v>
      </c>
      <c r="D50" s="189">
        <f>SUM(D44:D49)</f>
        <v>2055535</v>
      </c>
      <c r="E50" s="189">
        <f>SUM(E44:E49)-1</f>
        <v>2396851</v>
      </c>
      <c r="F50" s="189">
        <f t="shared" si="13"/>
        <v>2302956</v>
      </c>
      <c r="G50" s="189">
        <f t="shared" si="13"/>
        <v>2285356</v>
      </c>
      <c r="H50" s="189">
        <f t="shared" si="13"/>
        <v>2656029</v>
      </c>
      <c r="I50" s="189">
        <f t="shared" si="13"/>
        <v>3674890.1999999997</v>
      </c>
    </row>
    <row r="51" spans="1:9" s="4" customFormat="1" ht="15">
      <c r="A51" s="186"/>
      <c r="B51" s="189"/>
      <c r="C51" s="189"/>
      <c r="D51" s="189"/>
      <c r="E51" s="189"/>
      <c r="F51" s="189"/>
      <c r="G51" s="189"/>
      <c r="H51" s="189"/>
      <c r="I51" s="189"/>
    </row>
    <row r="52" spans="1:9" s="4" customFormat="1" ht="15">
      <c r="A52" s="186" t="s">
        <v>45</v>
      </c>
      <c r="B52" s="12"/>
      <c r="C52" s="12"/>
      <c r="D52" s="12"/>
      <c r="E52" s="12"/>
      <c r="F52" s="12"/>
      <c r="G52" s="12"/>
      <c r="H52" s="12"/>
      <c r="I52" s="12"/>
    </row>
    <row r="53" spans="1:9" s="4" customFormat="1" ht="15">
      <c r="A53" s="12" t="s">
        <v>35</v>
      </c>
      <c r="B53" s="4">
        <v>9183260.0200000014</v>
      </c>
      <c r="C53" s="4">
        <v>9551015.5500000026</v>
      </c>
      <c r="D53" s="4">
        <v>9728675</v>
      </c>
      <c r="E53" s="12">
        <v>10324930</v>
      </c>
      <c r="F53" s="12">
        <v>13801576</v>
      </c>
      <c r="G53" s="12">
        <v>12804486</v>
      </c>
      <c r="H53" s="12">
        <v>13100000</v>
      </c>
      <c r="I53" s="12">
        <f>+H53*1.04</f>
        <v>13624000</v>
      </c>
    </row>
    <row r="54" spans="1:9" s="4" customFormat="1" ht="15">
      <c r="A54" s="12" t="s">
        <v>36</v>
      </c>
      <c r="B54" s="4">
        <v>115857.87999999998</v>
      </c>
      <c r="C54" s="4">
        <v>111760.78999999996</v>
      </c>
      <c r="D54" s="4">
        <v>146702</v>
      </c>
      <c r="E54" s="12">
        <v>161236</v>
      </c>
      <c r="F54" s="12">
        <v>152753</v>
      </c>
      <c r="G54" s="12">
        <v>110000</v>
      </c>
      <c r="H54" s="12">
        <f t="shared" ref="H54:H57" si="14">+G54</f>
        <v>110000</v>
      </c>
      <c r="I54" s="12">
        <f t="shared" ref="G54:I58" si="15">H54</f>
        <v>110000</v>
      </c>
    </row>
    <row r="55" spans="1:9" s="4" customFormat="1" ht="15">
      <c r="A55" s="12" t="s">
        <v>37</v>
      </c>
      <c r="B55" s="4">
        <v>157216.00000000012</v>
      </c>
      <c r="C55" s="4">
        <v>157525.09999999998</v>
      </c>
      <c r="D55" s="4">
        <v>134990</v>
      </c>
      <c r="E55" s="12">
        <v>96718</v>
      </c>
      <c r="F55" s="12">
        <v>86770</v>
      </c>
      <c r="G55" s="12">
        <v>78100</v>
      </c>
      <c r="H55" s="12">
        <f t="shared" si="14"/>
        <v>78100</v>
      </c>
      <c r="I55" s="12">
        <f t="shared" si="15"/>
        <v>78100</v>
      </c>
    </row>
    <row r="56" spans="1:9" s="4" customFormat="1" ht="15">
      <c r="A56" s="12" t="s">
        <v>38</v>
      </c>
      <c r="B56" s="4">
        <v>209379.08999999997</v>
      </c>
      <c r="C56" s="4">
        <v>182254.24999999994</v>
      </c>
      <c r="D56" s="4">
        <v>215907</v>
      </c>
      <c r="E56" s="12">
        <v>194256</v>
      </c>
      <c r="F56" s="12">
        <v>314786</v>
      </c>
      <c r="G56" s="12">
        <v>214786</v>
      </c>
      <c r="H56" s="12">
        <f t="shared" si="14"/>
        <v>214786</v>
      </c>
      <c r="I56" s="12">
        <f t="shared" si="15"/>
        <v>214786</v>
      </c>
    </row>
    <row r="57" spans="1:9" s="4" customFormat="1" ht="15">
      <c r="A57" s="12" t="s">
        <v>39</v>
      </c>
      <c r="B57" s="12">
        <v>0</v>
      </c>
      <c r="C57" s="12">
        <v>0</v>
      </c>
      <c r="D57" s="12">
        <v>0</v>
      </c>
      <c r="E57" s="12">
        <f>D57</f>
        <v>0</v>
      </c>
      <c r="F57" s="12">
        <f>E57</f>
        <v>0</v>
      </c>
      <c r="G57" s="12">
        <f t="shared" si="15"/>
        <v>0</v>
      </c>
      <c r="H57" s="12">
        <f t="shared" si="14"/>
        <v>0</v>
      </c>
      <c r="I57" s="12">
        <f t="shared" si="15"/>
        <v>0</v>
      </c>
    </row>
    <row r="58" spans="1:9" s="4" customFormat="1" ht="17.25">
      <c r="A58" s="12" t="s">
        <v>40</v>
      </c>
      <c r="B58" s="189">
        <v>0</v>
      </c>
      <c r="C58" s="189">
        <v>0</v>
      </c>
      <c r="D58" s="189">
        <v>0</v>
      </c>
      <c r="E58" s="106">
        <f>D58</f>
        <v>0</v>
      </c>
      <c r="F58" s="106">
        <f>E58</f>
        <v>0</v>
      </c>
      <c r="G58" s="106">
        <f t="shared" si="15"/>
        <v>0</v>
      </c>
      <c r="H58" s="106">
        <f t="shared" si="15"/>
        <v>0</v>
      </c>
      <c r="I58" s="106">
        <f t="shared" si="15"/>
        <v>0</v>
      </c>
    </row>
    <row r="59" spans="1:9" s="4" customFormat="1" ht="15">
      <c r="A59" s="12" t="s">
        <v>42</v>
      </c>
      <c r="B59" s="189">
        <f t="shared" ref="B59:I59" si="16">SUM(B53:B58)</f>
        <v>9665712.9900000021</v>
      </c>
      <c r="C59" s="189">
        <f t="shared" si="16"/>
        <v>10002555.690000001</v>
      </c>
      <c r="D59" s="189">
        <f>SUM(D53:D58)</f>
        <v>10226274</v>
      </c>
      <c r="E59" s="189">
        <f t="shared" si="16"/>
        <v>10777140</v>
      </c>
      <c r="F59" s="189">
        <f t="shared" si="16"/>
        <v>14355885</v>
      </c>
      <c r="G59" s="189">
        <f t="shared" si="16"/>
        <v>13207372</v>
      </c>
      <c r="H59" s="189">
        <f t="shared" si="16"/>
        <v>13502886</v>
      </c>
      <c r="I59" s="189">
        <f t="shared" si="16"/>
        <v>14026886</v>
      </c>
    </row>
    <row r="60" spans="1:9" s="4" customFormat="1" ht="15">
      <c r="A60" s="186" t="s">
        <v>46</v>
      </c>
      <c r="B60" s="12"/>
      <c r="C60" s="12"/>
      <c r="D60" s="12"/>
      <c r="E60" s="12"/>
      <c r="F60" s="12"/>
      <c r="G60" s="12"/>
      <c r="H60" s="12"/>
      <c r="I60" s="12"/>
    </row>
    <row r="61" spans="1:9" s="4" customFormat="1" ht="15">
      <c r="A61" s="12" t="s">
        <v>35</v>
      </c>
      <c r="B61" s="4">
        <v>5562938.8499999996</v>
      </c>
      <c r="C61" s="4">
        <v>6025762.5499999961</v>
      </c>
      <c r="D61" s="4">
        <v>6254005</v>
      </c>
      <c r="E61" s="12">
        <v>6950889</v>
      </c>
      <c r="F61" s="12">
        <v>8286970</v>
      </c>
      <c r="G61" s="12">
        <v>7786500</v>
      </c>
      <c r="H61" s="12">
        <v>7950000</v>
      </c>
      <c r="I61" s="12">
        <f>+H61*1.04</f>
        <v>8268000</v>
      </c>
    </row>
    <row r="62" spans="1:9" s="4" customFormat="1" ht="15">
      <c r="A62" s="12" t="s">
        <v>36</v>
      </c>
      <c r="B62" s="4">
        <v>104991.24</v>
      </c>
      <c r="C62" s="4">
        <v>76274.929999999993</v>
      </c>
      <c r="D62" s="4">
        <v>67763</v>
      </c>
      <c r="E62" s="12">
        <v>193687</v>
      </c>
      <c r="F62" s="12">
        <v>126115</v>
      </c>
      <c r="G62" s="12">
        <f t="shared" ref="F62:I66" si="17">F62</f>
        <v>126115</v>
      </c>
      <c r="H62" s="12">
        <f t="shared" ref="H62:H66" si="18">+G62</f>
        <v>126115</v>
      </c>
      <c r="I62" s="12">
        <f t="shared" si="17"/>
        <v>126115</v>
      </c>
    </row>
    <row r="63" spans="1:9" s="4" customFormat="1" ht="15">
      <c r="A63" s="12" t="s">
        <v>37</v>
      </c>
      <c r="B63" s="4">
        <v>316231.7</v>
      </c>
      <c r="C63" s="4">
        <v>365029.59</v>
      </c>
      <c r="D63" s="4">
        <v>378250</v>
      </c>
      <c r="E63" s="12">
        <v>456678</v>
      </c>
      <c r="F63" s="12">
        <v>519501</v>
      </c>
      <c r="G63" s="12">
        <v>467551</v>
      </c>
      <c r="H63" s="12">
        <f t="shared" si="18"/>
        <v>467551</v>
      </c>
      <c r="I63" s="12">
        <f t="shared" si="17"/>
        <v>467551</v>
      </c>
    </row>
    <row r="64" spans="1:9" s="4" customFormat="1" ht="15">
      <c r="A64" s="12" t="s">
        <v>38</v>
      </c>
      <c r="B64" s="4">
        <v>48976.32</v>
      </c>
      <c r="C64" s="4">
        <v>43173.979999999996</v>
      </c>
      <c r="D64" s="4">
        <v>67662</v>
      </c>
      <c r="E64" s="12">
        <v>52428</v>
      </c>
      <c r="F64" s="12">
        <v>58638</v>
      </c>
      <c r="G64" s="12">
        <v>48638</v>
      </c>
      <c r="H64" s="12">
        <f t="shared" si="18"/>
        <v>48638</v>
      </c>
      <c r="I64" s="12">
        <f>H64</f>
        <v>48638</v>
      </c>
    </row>
    <row r="65" spans="1:9" s="4" customFormat="1" ht="15">
      <c r="A65" s="12" t="s">
        <v>39</v>
      </c>
      <c r="B65" s="12">
        <v>0</v>
      </c>
      <c r="C65" s="12">
        <v>0</v>
      </c>
      <c r="D65" s="12">
        <v>0</v>
      </c>
      <c r="E65" s="12">
        <f>D65</f>
        <v>0</v>
      </c>
      <c r="F65" s="12">
        <f t="shared" si="17"/>
        <v>0</v>
      </c>
      <c r="G65" s="12">
        <f t="shared" si="17"/>
        <v>0</v>
      </c>
      <c r="H65" s="12">
        <f t="shared" si="18"/>
        <v>0</v>
      </c>
      <c r="I65" s="12">
        <f t="shared" si="17"/>
        <v>0</v>
      </c>
    </row>
    <row r="66" spans="1:9" s="4" customFormat="1" ht="17.25">
      <c r="A66" s="12" t="s">
        <v>40</v>
      </c>
      <c r="B66" s="189">
        <v>0</v>
      </c>
      <c r="C66" s="189">
        <v>0</v>
      </c>
      <c r="D66" s="189">
        <v>0</v>
      </c>
      <c r="E66" s="106">
        <f>D66</f>
        <v>0</v>
      </c>
      <c r="F66" s="106">
        <f t="shared" si="17"/>
        <v>0</v>
      </c>
      <c r="G66" s="106">
        <f t="shared" si="17"/>
        <v>0</v>
      </c>
      <c r="H66" s="106">
        <f t="shared" si="18"/>
        <v>0</v>
      </c>
      <c r="I66" s="106">
        <f t="shared" si="17"/>
        <v>0</v>
      </c>
    </row>
    <row r="67" spans="1:9" s="4" customFormat="1" ht="15">
      <c r="A67" s="12" t="s">
        <v>42</v>
      </c>
      <c r="B67" s="189">
        <f t="shared" ref="B67:I67" si="19">SUM(B61:B66)</f>
        <v>6033138.1100000003</v>
      </c>
      <c r="C67" s="189">
        <f t="shared" si="19"/>
        <v>6510241.0499999961</v>
      </c>
      <c r="D67" s="189">
        <f>SUM(D61:D66)-1</f>
        <v>6767679</v>
      </c>
      <c r="E67" s="189">
        <f t="shared" si="19"/>
        <v>7653682</v>
      </c>
      <c r="F67" s="189">
        <f t="shared" si="19"/>
        <v>8991224</v>
      </c>
      <c r="G67" s="189">
        <f t="shared" si="19"/>
        <v>8428804</v>
      </c>
      <c r="H67" s="189">
        <f t="shared" si="19"/>
        <v>8592304</v>
      </c>
      <c r="I67" s="189">
        <f t="shared" si="19"/>
        <v>8910304</v>
      </c>
    </row>
    <row r="68" spans="1:9" s="4" customFormat="1" ht="15">
      <c r="A68" s="12"/>
      <c r="B68" s="189"/>
      <c r="C68" s="189"/>
      <c r="D68" s="189"/>
      <c r="E68" s="189"/>
      <c r="F68" s="189"/>
      <c r="G68" s="189"/>
      <c r="H68" s="189"/>
      <c r="I68" s="189"/>
    </row>
    <row r="69" spans="1:9" s="4" customFormat="1" ht="15">
      <c r="A69" s="186" t="s">
        <v>47</v>
      </c>
      <c r="B69" s="12"/>
      <c r="C69" s="12"/>
      <c r="D69" s="12"/>
      <c r="E69" s="12"/>
      <c r="F69" s="12"/>
      <c r="G69" s="12"/>
      <c r="H69" s="12"/>
      <c r="I69" s="12"/>
    </row>
    <row r="70" spans="1:9" s="4" customFormat="1" ht="15">
      <c r="A70" s="12" t="s">
        <v>35</v>
      </c>
      <c r="B70" s="4">
        <v>77793.009999999995</v>
      </c>
      <c r="C70" s="4">
        <v>74693.37000000001</v>
      </c>
      <c r="D70" s="4">
        <v>76157</v>
      </c>
      <c r="E70" s="12">
        <v>148325</v>
      </c>
      <c r="F70" s="12">
        <v>215317</v>
      </c>
      <c r="G70" s="12">
        <v>215317</v>
      </c>
      <c r="H70" s="12">
        <f t="shared" ref="H70:H73" si="20">+G70</f>
        <v>215317</v>
      </c>
      <c r="I70" s="12">
        <f>+H70*1.02</f>
        <v>219623.34</v>
      </c>
    </row>
    <row r="71" spans="1:9" s="4" customFormat="1" ht="15">
      <c r="A71" s="12" t="s">
        <v>36</v>
      </c>
      <c r="B71" s="4">
        <v>114994</v>
      </c>
      <c r="C71" s="12">
        <v>114994</v>
      </c>
      <c r="D71" s="12">
        <v>118994</v>
      </c>
      <c r="E71" s="12">
        <v>118994</v>
      </c>
      <c r="F71" s="12">
        <v>118994</v>
      </c>
      <c r="G71" s="12">
        <v>116994</v>
      </c>
      <c r="H71" s="12">
        <f t="shared" si="20"/>
        <v>116994</v>
      </c>
      <c r="I71" s="12">
        <f>H71</f>
        <v>116994</v>
      </c>
    </row>
    <row r="72" spans="1:9" s="4" customFormat="1" ht="15">
      <c r="A72" s="12" t="s">
        <v>37</v>
      </c>
      <c r="B72" s="12">
        <v>0</v>
      </c>
      <c r="C72" s="12">
        <v>0</v>
      </c>
      <c r="D72" s="12">
        <v>0</v>
      </c>
      <c r="E72" s="12">
        <f>D72</f>
        <v>0</v>
      </c>
      <c r="F72" s="12">
        <f t="shared" ref="F72:I75" si="21">E72</f>
        <v>0</v>
      </c>
      <c r="G72" s="12">
        <f t="shared" si="21"/>
        <v>0</v>
      </c>
      <c r="H72" s="12">
        <f t="shared" si="20"/>
        <v>0</v>
      </c>
      <c r="I72" s="12">
        <f t="shared" si="21"/>
        <v>0</v>
      </c>
    </row>
    <row r="73" spans="1:9" s="4" customFormat="1" ht="15">
      <c r="A73" s="12" t="s">
        <v>38</v>
      </c>
      <c r="B73" s="12">
        <v>0</v>
      </c>
      <c r="C73" s="12">
        <v>0</v>
      </c>
      <c r="D73" s="12">
        <v>0</v>
      </c>
      <c r="E73" s="12">
        <f>D73</f>
        <v>0</v>
      </c>
      <c r="F73" s="12">
        <f t="shared" si="21"/>
        <v>0</v>
      </c>
      <c r="G73" s="12">
        <f t="shared" si="21"/>
        <v>0</v>
      </c>
      <c r="H73" s="12">
        <f t="shared" si="20"/>
        <v>0</v>
      </c>
      <c r="I73" s="12">
        <f t="shared" si="21"/>
        <v>0</v>
      </c>
    </row>
    <row r="74" spans="1:9" s="4" customFormat="1" ht="15">
      <c r="A74" s="12" t="s">
        <v>39</v>
      </c>
      <c r="B74" s="12">
        <v>0</v>
      </c>
      <c r="C74" s="12">
        <v>0</v>
      </c>
      <c r="D74" s="12">
        <v>0</v>
      </c>
      <c r="E74" s="12">
        <f>D74</f>
        <v>0</v>
      </c>
      <c r="F74" s="12">
        <f t="shared" si="21"/>
        <v>0</v>
      </c>
      <c r="G74" s="12">
        <f t="shared" si="21"/>
        <v>0</v>
      </c>
      <c r="H74" s="12">
        <f t="shared" si="21"/>
        <v>0</v>
      </c>
      <c r="I74" s="12">
        <f t="shared" si="21"/>
        <v>0</v>
      </c>
    </row>
    <row r="75" spans="1:9" s="4" customFormat="1" ht="17.25">
      <c r="A75" s="12" t="s">
        <v>40</v>
      </c>
      <c r="B75" s="189">
        <v>0</v>
      </c>
      <c r="C75" s="189">
        <v>0</v>
      </c>
      <c r="D75" s="189">
        <v>0</v>
      </c>
      <c r="E75" s="106">
        <f>D75</f>
        <v>0</v>
      </c>
      <c r="F75" s="106">
        <f t="shared" si="21"/>
        <v>0</v>
      </c>
      <c r="G75" s="106">
        <f t="shared" si="21"/>
        <v>0</v>
      </c>
      <c r="H75" s="106">
        <f t="shared" si="21"/>
        <v>0</v>
      </c>
      <c r="I75" s="106">
        <f t="shared" si="21"/>
        <v>0</v>
      </c>
    </row>
    <row r="76" spans="1:9" s="4" customFormat="1" ht="15">
      <c r="A76" s="12" t="s">
        <v>42</v>
      </c>
      <c r="B76" s="189">
        <f t="shared" ref="B76:I76" si="22">SUM(B70:B75)</f>
        <v>192787.01</v>
      </c>
      <c r="C76" s="189">
        <f t="shared" si="22"/>
        <v>189687.37</v>
      </c>
      <c r="D76" s="189">
        <f>SUM(D70:D75)</f>
        <v>195151</v>
      </c>
      <c r="E76" s="189">
        <f t="shared" si="22"/>
        <v>267319</v>
      </c>
      <c r="F76" s="189">
        <f t="shared" si="22"/>
        <v>334311</v>
      </c>
      <c r="G76" s="189">
        <f t="shared" si="22"/>
        <v>332311</v>
      </c>
      <c r="H76" s="189">
        <f t="shared" si="22"/>
        <v>332311</v>
      </c>
      <c r="I76" s="189">
        <f t="shared" si="22"/>
        <v>336617.33999999997</v>
      </c>
    </row>
    <row r="77" spans="1:9" s="4" customFormat="1" ht="15">
      <c r="A77" s="186"/>
      <c r="B77" s="189"/>
      <c r="C77" s="189"/>
      <c r="D77" s="189"/>
      <c r="E77" s="189"/>
      <c r="F77" s="189"/>
      <c r="G77" s="189"/>
      <c r="H77" s="189"/>
      <c r="I77" s="189"/>
    </row>
    <row r="78" spans="1:9" s="4" customFormat="1" ht="15">
      <c r="A78" s="186" t="s">
        <v>48</v>
      </c>
      <c r="B78" s="12"/>
      <c r="C78" s="12"/>
      <c r="D78" s="12"/>
      <c r="E78" s="12"/>
      <c r="F78" s="12"/>
      <c r="G78" s="12"/>
      <c r="H78" s="12"/>
      <c r="I78" s="12"/>
    </row>
    <row r="79" spans="1:9" s="4" customFormat="1" ht="15">
      <c r="A79" s="12" t="s">
        <v>35</v>
      </c>
      <c r="B79" s="4">
        <v>1777556.5799999998</v>
      </c>
      <c r="C79" s="4">
        <v>1842652.3800000006</v>
      </c>
      <c r="D79" s="4">
        <v>2159579</v>
      </c>
      <c r="E79" s="12">
        <v>2417340</v>
      </c>
      <c r="F79" s="12">
        <v>2483138</v>
      </c>
      <c r="G79" s="12">
        <v>2383150</v>
      </c>
      <c r="H79" s="12">
        <f t="shared" ref="H79:H83" si="23">+G79</f>
        <v>2383150</v>
      </c>
      <c r="I79" s="12">
        <f>+H79*1.04</f>
        <v>2478476</v>
      </c>
    </row>
    <row r="80" spans="1:9" s="4" customFormat="1" ht="15">
      <c r="A80" s="12" t="s">
        <v>36</v>
      </c>
      <c r="B80" s="12">
        <v>10242</v>
      </c>
      <c r="C80" s="12">
        <v>4920</v>
      </c>
      <c r="D80" s="12">
        <v>2538</v>
      </c>
      <c r="E80" s="12">
        <v>4289</v>
      </c>
      <c r="F80" s="12">
        <v>4289</v>
      </c>
      <c r="G80" s="12">
        <f t="shared" ref="F80:I84" si="24">F80</f>
        <v>4289</v>
      </c>
      <c r="H80" s="12">
        <f t="shared" si="23"/>
        <v>4289</v>
      </c>
      <c r="I80" s="12">
        <f t="shared" si="24"/>
        <v>4289</v>
      </c>
    </row>
    <row r="81" spans="1:9" s="4" customFormat="1" ht="15">
      <c r="A81" s="12" t="s">
        <v>37</v>
      </c>
      <c r="B81" s="4">
        <v>52844.429999999993</v>
      </c>
      <c r="C81" s="4">
        <v>26045.15</v>
      </c>
      <c r="D81" s="4">
        <v>56083</v>
      </c>
      <c r="E81" s="12">
        <v>65415</v>
      </c>
      <c r="F81" s="12">
        <v>60530</v>
      </c>
      <c r="G81" s="12">
        <v>59530</v>
      </c>
      <c r="H81" s="12">
        <f t="shared" si="23"/>
        <v>59530</v>
      </c>
      <c r="I81" s="12">
        <f t="shared" si="24"/>
        <v>59530</v>
      </c>
    </row>
    <row r="82" spans="1:9" s="4" customFormat="1" ht="15">
      <c r="A82" s="12" t="s">
        <v>38</v>
      </c>
      <c r="B82" s="4">
        <v>5657.82</v>
      </c>
      <c r="C82" s="4">
        <v>7274.5</v>
      </c>
      <c r="D82" s="4">
        <v>3766</v>
      </c>
      <c r="E82" s="12">
        <v>13022</v>
      </c>
      <c r="F82" s="12">
        <v>15686</v>
      </c>
      <c r="G82" s="12">
        <v>14686</v>
      </c>
      <c r="H82" s="12">
        <f t="shared" si="23"/>
        <v>14686</v>
      </c>
      <c r="I82" s="12">
        <f t="shared" si="24"/>
        <v>14686</v>
      </c>
    </row>
    <row r="83" spans="1:9" s="4" customFormat="1" ht="15">
      <c r="A83" s="12" t="s">
        <v>39</v>
      </c>
      <c r="B83" s="12">
        <v>0</v>
      </c>
      <c r="C83" s="12">
        <v>0</v>
      </c>
      <c r="D83" s="12">
        <v>0</v>
      </c>
      <c r="E83" s="12">
        <f>D83</f>
        <v>0</v>
      </c>
      <c r="F83" s="12">
        <f t="shared" si="24"/>
        <v>0</v>
      </c>
      <c r="G83" s="12">
        <f t="shared" si="24"/>
        <v>0</v>
      </c>
      <c r="H83" s="12">
        <f t="shared" si="23"/>
        <v>0</v>
      </c>
      <c r="I83" s="12">
        <f t="shared" si="24"/>
        <v>0</v>
      </c>
    </row>
    <row r="84" spans="1:9" s="4" customFormat="1" ht="17.25">
      <c r="A84" s="12" t="s">
        <v>40</v>
      </c>
      <c r="B84" s="189">
        <v>0</v>
      </c>
      <c r="C84" s="189">
        <v>0</v>
      </c>
      <c r="D84" s="189">
        <v>0</v>
      </c>
      <c r="E84" s="106">
        <f>D84</f>
        <v>0</v>
      </c>
      <c r="F84" s="106">
        <f t="shared" si="24"/>
        <v>0</v>
      </c>
      <c r="G84" s="106">
        <f t="shared" si="24"/>
        <v>0</v>
      </c>
      <c r="H84" s="106">
        <f t="shared" si="24"/>
        <v>0</v>
      </c>
      <c r="I84" s="106">
        <f t="shared" si="24"/>
        <v>0</v>
      </c>
    </row>
    <row r="85" spans="1:9" s="4" customFormat="1" ht="15">
      <c r="A85" s="12" t="s">
        <v>42</v>
      </c>
      <c r="B85" s="189">
        <f t="shared" ref="B85:I85" si="25">SUM(B79:B84)</f>
        <v>1846300.8299999998</v>
      </c>
      <c r="C85" s="189">
        <f t="shared" si="25"/>
        <v>1880892.0300000005</v>
      </c>
      <c r="D85" s="189">
        <f>SUM(D79:D84)</f>
        <v>2221966</v>
      </c>
      <c r="E85" s="189">
        <f t="shared" si="25"/>
        <v>2500066</v>
      </c>
      <c r="F85" s="189">
        <f t="shared" si="25"/>
        <v>2563643</v>
      </c>
      <c r="G85" s="189">
        <f t="shared" si="25"/>
        <v>2461655</v>
      </c>
      <c r="H85" s="189">
        <f t="shared" si="25"/>
        <v>2461655</v>
      </c>
      <c r="I85" s="189">
        <f t="shared" si="25"/>
        <v>2556981</v>
      </c>
    </row>
    <row r="86" spans="1:9" s="4" customFormat="1" ht="15">
      <c r="A86" s="12"/>
      <c r="B86" s="189"/>
      <c r="C86" s="189"/>
      <c r="D86" s="189"/>
      <c r="E86" s="189"/>
      <c r="F86" s="189"/>
      <c r="G86" s="189"/>
      <c r="H86" s="189"/>
      <c r="I86" s="189"/>
    </row>
    <row r="87" spans="1:9" s="4" customFormat="1" ht="15">
      <c r="A87" s="186" t="s">
        <v>49</v>
      </c>
      <c r="B87" s="12"/>
      <c r="C87" s="12"/>
      <c r="D87" s="12"/>
      <c r="E87" s="12"/>
      <c r="F87" s="12"/>
      <c r="G87" s="12"/>
      <c r="H87" s="12"/>
      <c r="I87" s="12"/>
    </row>
    <row r="88" spans="1:9" s="4" customFormat="1" ht="15">
      <c r="A88" s="12" t="s">
        <v>35</v>
      </c>
      <c r="B88" s="12">
        <v>0</v>
      </c>
      <c r="C88" s="12">
        <v>7994.3200000000006</v>
      </c>
      <c r="D88" s="12">
        <v>0</v>
      </c>
      <c r="E88" s="12">
        <f>ROUND((D$88*E$252),0)</f>
        <v>0</v>
      </c>
      <c r="F88" s="12">
        <v>0</v>
      </c>
      <c r="G88" s="12">
        <f t="shared" ref="G88:I88" si="26">ROUND((F$88*G$252),0)</f>
        <v>0</v>
      </c>
      <c r="H88" s="12">
        <f t="shared" si="26"/>
        <v>0</v>
      </c>
      <c r="I88" s="12">
        <f t="shared" si="26"/>
        <v>0</v>
      </c>
    </row>
    <row r="89" spans="1:9" s="4" customFormat="1" ht="15">
      <c r="A89" s="12" t="s">
        <v>36</v>
      </c>
      <c r="B89" s="4">
        <v>7836137.71</v>
      </c>
      <c r="C89" s="4">
        <v>8982035.4199999999</v>
      </c>
      <c r="D89" s="4">
        <v>9700194</v>
      </c>
      <c r="E89" s="12">
        <v>9996852</v>
      </c>
      <c r="F89" s="12">
        <v>11144000</v>
      </c>
      <c r="G89" s="12">
        <f>F89+'[5]Staff Projection'!L24</f>
        <v>11756493</v>
      </c>
      <c r="H89" s="12">
        <v>12202886</v>
      </c>
      <c r="I89" s="12">
        <f>+H89*1.08</f>
        <v>13179116.880000001</v>
      </c>
    </row>
    <row r="90" spans="1:9" s="4" customFormat="1" ht="15">
      <c r="A90" s="12" t="s">
        <v>37</v>
      </c>
      <c r="B90" s="4">
        <v>642516.72</v>
      </c>
      <c r="C90" s="4">
        <v>901672</v>
      </c>
      <c r="D90" s="4">
        <v>933908</v>
      </c>
      <c r="E90" s="12">
        <v>1018693</v>
      </c>
      <c r="F90" s="12">
        <v>1140054</v>
      </c>
      <c r="G90" s="12">
        <v>1016045</v>
      </c>
      <c r="H90" s="12">
        <v>1200000</v>
      </c>
      <c r="I90" s="12">
        <f t="shared" ref="I90:I91" si="27">H90</f>
        <v>1200000</v>
      </c>
    </row>
    <row r="91" spans="1:9" s="4" customFormat="1" ht="15">
      <c r="A91" s="12" t="s">
        <v>38</v>
      </c>
      <c r="B91" s="4">
        <v>240785.74</v>
      </c>
      <c r="C91" s="4">
        <v>58948</v>
      </c>
      <c r="D91" s="4">
        <v>52765</v>
      </c>
      <c r="E91" s="12">
        <v>152000</v>
      </c>
      <c r="F91" s="12">
        <v>152000</v>
      </c>
      <c r="G91" s="12">
        <v>132000</v>
      </c>
      <c r="H91" s="12">
        <f t="shared" ref="H91:H92" si="28">+G91</f>
        <v>132000</v>
      </c>
      <c r="I91" s="12">
        <f t="shared" si="27"/>
        <v>132000</v>
      </c>
    </row>
    <row r="92" spans="1:9" s="4" customFormat="1" ht="15">
      <c r="A92" s="12" t="s">
        <v>39</v>
      </c>
      <c r="B92" s="12">
        <v>0</v>
      </c>
      <c r="C92" s="4">
        <v>0</v>
      </c>
      <c r="D92" s="12">
        <v>0</v>
      </c>
      <c r="E92" s="12">
        <f>D92</f>
        <v>0</v>
      </c>
      <c r="F92" s="12">
        <f t="shared" ref="F92:I93" si="29">E92</f>
        <v>0</v>
      </c>
      <c r="G92" s="12">
        <f t="shared" si="29"/>
        <v>0</v>
      </c>
      <c r="H92" s="12">
        <f t="shared" si="28"/>
        <v>0</v>
      </c>
      <c r="I92" s="12">
        <f t="shared" si="29"/>
        <v>0</v>
      </c>
    </row>
    <row r="93" spans="1:9" s="4" customFormat="1" ht="17.25">
      <c r="A93" s="12" t="s">
        <v>40</v>
      </c>
      <c r="B93" s="189">
        <v>1489.23</v>
      </c>
      <c r="C93" s="106">
        <v>0</v>
      </c>
      <c r="D93" s="189">
        <v>0</v>
      </c>
      <c r="E93" s="106">
        <f>D93</f>
        <v>0</v>
      </c>
      <c r="F93" s="106">
        <f t="shared" si="29"/>
        <v>0</v>
      </c>
      <c r="G93" s="106">
        <f t="shared" si="29"/>
        <v>0</v>
      </c>
      <c r="H93" s="106">
        <f t="shared" si="29"/>
        <v>0</v>
      </c>
      <c r="I93" s="106">
        <f t="shared" si="29"/>
        <v>0</v>
      </c>
    </row>
    <row r="94" spans="1:9" s="4" customFormat="1" ht="15">
      <c r="A94" s="12" t="s">
        <v>42</v>
      </c>
      <c r="B94" s="189">
        <f t="shared" ref="B94:I94" si="30">SUM(B88:B93)</f>
        <v>8720929.4000000004</v>
      </c>
      <c r="C94" s="189">
        <f t="shared" si="30"/>
        <v>9950649.7400000002</v>
      </c>
      <c r="D94" s="189">
        <f>SUM(D88:D93)</f>
        <v>10686867</v>
      </c>
      <c r="E94" s="189">
        <f t="shared" si="30"/>
        <v>11167545</v>
      </c>
      <c r="F94" s="189">
        <f t="shared" si="30"/>
        <v>12436054</v>
      </c>
      <c r="G94" s="189">
        <f t="shared" si="30"/>
        <v>12904538</v>
      </c>
      <c r="H94" s="189">
        <f t="shared" si="30"/>
        <v>13534886</v>
      </c>
      <c r="I94" s="189">
        <f t="shared" si="30"/>
        <v>14511116.880000001</v>
      </c>
    </row>
    <row r="95" spans="1:9" s="4" customFormat="1" ht="15">
      <c r="A95" s="186"/>
      <c r="B95" s="189"/>
      <c r="C95" s="189"/>
      <c r="D95" s="189"/>
      <c r="E95" s="189"/>
      <c r="F95" s="189"/>
      <c r="G95" s="189"/>
      <c r="H95" s="189"/>
      <c r="I95" s="189"/>
    </row>
    <row r="96" spans="1:9" s="4" customFormat="1" ht="15">
      <c r="A96" s="186" t="s">
        <v>50</v>
      </c>
      <c r="B96" s="12"/>
      <c r="C96" s="12"/>
      <c r="D96" s="12"/>
      <c r="E96" s="12"/>
      <c r="F96" s="12"/>
      <c r="G96" s="12"/>
      <c r="H96" s="12"/>
      <c r="I96" s="12"/>
    </row>
    <row r="97" spans="1:9" s="4" customFormat="1" ht="15">
      <c r="A97" s="12" t="s">
        <v>35</v>
      </c>
      <c r="B97" s="12">
        <v>0</v>
      </c>
      <c r="C97" s="12">
        <v>0</v>
      </c>
      <c r="D97" s="12">
        <v>0</v>
      </c>
      <c r="E97" s="12">
        <f>ROUND((D$97*E$252),0)</f>
        <v>0</v>
      </c>
      <c r="F97" s="12">
        <v>0</v>
      </c>
      <c r="G97" s="12">
        <f t="shared" ref="G97:I97" si="31">ROUND((F$97*G$252),0)</f>
        <v>0</v>
      </c>
      <c r="H97" s="12">
        <f t="shared" si="31"/>
        <v>0</v>
      </c>
      <c r="I97" s="12">
        <f t="shared" si="31"/>
        <v>0</v>
      </c>
    </row>
    <row r="98" spans="1:9" s="4" customFormat="1" ht="15">
      <c r="A98" s="12" t="s">
        <v>36</v>
      </c>
      <c r="B98" s="12">
        <f t="shared" ref="B98:B100" si="32">0+0</f>
        <v>0</v>
      </c>
      <c r="C98" s="12">
        <v>0</v>
      </c>
      <c r="D98" s="12">
        <f t="shared" ref="D98:D100" si="33">0+0</f>
        <v>0</v>
      </c>
      <c r="E98" s="12">
        <f>D98</f>
        <v>0</v>
      </c>
      <c r="F98" s="12">
        <f t="shared" ref="F98:I102" si="34">E98</f>
        <v>0</v>
      </c>
      <c r="G98" s="12">
        <f t="shared" si="34"/>
        <v>0</v>
      </c>
      <c r="H98" s="12">
        <f t="shared" si="34"/>
        <v>0</v>
      </c>
      <c r="I98" s="12">
        <f t="shared" si="34"/>
        <v>0</v>
      </c>
    </row>
    <row r="99" spans="1:9" s="4" customFormat="1" ht="15">
      <c r="A99" s="12" t="s">
        <v>37</v>
      </c>
      <c r="B99" s="12">
        <f t="shared" si="32"/>
        <v>0</v>
      </c>
      <c r="C99" s="12">
        <v>0</v>
      </c>
      <c r="D99" s="12">
        <f t="shared" si="33"/>
        <v>0</v>
      </c>
      <c r="E99" s="12">
        <f>D99</f>
        <v>0</v>
      </c>
      <c r="F99" s="12">
        <f t="shared" si="34"/>
        <v>0</v>
      </c>
      <c r="G99" s="12">
        <f t="shared" si="34"/>
        <v>0</v>
      </c>
      <c r="H99" s="12">
        <f t="shared" si="34"/>
        <v>0</v>
      </c>
      <c r="I99" s="12">
        <f t="shared" si="34"/>
        <v>0</v>
      </c>
    </row>
    <row r="100" spans="1:9" s="4" customFormat="1" ht="15">
      <c r="A100" s="12" t="s">
        <v>38</v>
      </c>
      <c r="B100" s="12">
        <f t="shared" si="32"/>
        <v>0</v>
      </c>
      <c r="C100" s="12">
        <v>0</v>
      </c>
      <c r="D100" s="12">
        <f t="shared" si="33"/>
        <v>0</v>
      </c>
      <c r="E100" s="12">
        <f>D100</f>
        <v>0</v>
      </c>
      <c r="F100" s="12">
        <f t="shared" si="34"/>
        <v>0</v>
      </c>
      <c r="G100" s="12">
        <f t="shared" si="34"/>
        <v>0</v>
      </c>
      <c r="H100" s="12">
        <f t="shared" si="34"/>
        <v>0</v>
      </c>
      <c r="I100" s="12">
        <f t="shared" si="34"/>
        <v>0</v>
      </c>
    </row>
    <row r="101" spans="1:9" s="4" customFormat="1" ht="15">
      <c r="A101" s="12" t="s">
        <v>39</v>
      </c>
      <c r="B101" s="12">
        <v>0</v>
      </c>
      <c r="C101" s="12">
        <v>0</v>
      </c>
      <c r="D101" s="12">
        <v>0</v>
      </c>
      <c r="E101" s="12">
        <f>D101</f>
        <v>0</v>
      </c>
      <c r="F101" s="12">
        <f t="shared" si="34"/>
        <v>0</v>
      </c>
      <c r="G101" s="12">
        <f t="shared" si="34"/>
        <v>0</v>
      </c>
      <c r="H101" s="12">
        <f t="shared" si="34"/>
        <v>0</v>
      </c>
      <c r="I101" s="12">
        <f t="shared" si="34"/>
        <v>0</v>
      </c>
    </row>
    <row r="102" spans="1:9" s="4" customFormat="1" ht="17.25">
      <c r="A102" s="12" t="s">
        <v>40</v>
      </c>
      <c r="B102" s="189">
        <v>0</v>
      </c>
      <c r="C102" s="106">
        <v>0</v>
      </c>
      <c r="D102" s="189">
        <v>0</v>
      </c>
      <c r="E102" s="106">
        <f>D102</f>
        <v>0</v>
      </c>
      <c r="F102" s="106">
        <f t="shared" si="34"/>
        <v>0</v>
      </c>
      <c r="G102" s="106">
        <f t="shared" si="34"/>
        <v>0</v>
      </c>
      <c r="H102" s="106">
        <f t="shared" si="34"/>
        <v>0</v>
      </c>
      <c r="I102" s="106">
        <f t="shared" si="34"/>
        <v>0</v>
      </c>
    </row>
    <row r="103" spans="1:9" s="4" customFormat="1" ht="15">
      <c r="A103" s="12" t="s">
        <v>42</v>
      </c>
      <c r="B103" s="189">
        <f t="shared" ref="B103:I103" si="35">SUM(B97:B102)</f>
        <v>0</v>
      </c>
      <c r="C103" s="189">
        <f t="shared" si="35"/>
        <v>0</v>
      </c>
      <c r="D103" s="189">
        <f>SUM(D97:D102)</f>
        <v>0</v>
      </c>
      <c r="E103" s="189">
        <f t="shared" si="35"/>
        <v>0</v>
      </c>
      <c r="F103" s="189">
        <f t="shared" si="35"/>
        <v>0</v>
      </c>
      <c r="G103" s="189">
        <f t="shared" si="35"/>
        <v>0</v>
      </c>
      <c r="H103" s="189">
        <f t="shared" si="35"/>
        <v>0</v>
      </c>
      <c r="I103" s="189">
        <f t="shared" si="35"/>
        <v>0</v>
      </c>
    </row>
    <row r="104" spans="1:9" s="4" customFormat="1" ht="15">
      <c r="A104" s="186" t="s">
        <v>51</v>
      </c>
      <c r="B104" s="12"/>
      <c r="C104" s="12"/>
      <c r="D104" s="12"/>
      <c r="E104" s="12"/>
      <c r="F104" s="12"/>
      <c r="G104" s="12"/>
      <c r="H104" s="12"/>
      <c r="I104" s="12"/>
    </row>
    <row r="105" spans="1:9" s="4" customFormat="1" ht="15">
      <c r="A105" s="12" t="s">
        <v>35</v>
      </c>
      <c r="B105" s="4">
        <v>3139740.1800000016</v>
      </c>
      <c r="C105" s="4">
        <v>3727496.5999999996</v>
      </c>
      <c r="D105" s="4">
        <v>3848431</v>
      </c>
      <c r="E105" s="12">
        <v>4013158</v>
      </c>
      <c r="F105" s="12">
        <v>3743397</v>
      </c>
      <c r="G105" s="12">
        <v>2743500</v>
      </c>
      <c r="H105" s="12">
        <v>2943500</v>
      </c>
      <c r="I105" s="12">
        <f>+H105*1.04</f>
        <v>3061240</v>
      </c>
    </row>
    <row r="106" spans="1:9" s="4" customFormat="1" ht="15">
      <c r="A106" s="12" t="s">
        <v>36</v>
      </c>
      <c r="B106" s="4">
        <v>749179.57999999984</v>
      </c>
      <c r="C106" s="4">
        <v>751717.00000000012</v>
      </c>
      <c r="D106" s="4">
        <v>890811</v>
      </c>
      <c r="E106" s="12">
        <v>957935</v>
      </c>
      <c r="F106" s="12">
        <v>979651</v>
      </c>
      <c r="G106" s="12">
        <v>879651</v>
      </c>
      <c r="H106" s="12">
        <f t="shared" ref="H106:H109" si="36">+G106</f>
        <v>879651</v>
      </c>
      <c r="I106" s="12">
        <f t="shared" ref="I106" si="37">H106</f>
        <v>879651</v>
      </c>
    </row>
    <row r="107" spans="1:9" s="4" customFormat="1" ht="15">
      <c r="A107" s="12" t="s">
        <v>37</v>
      </c>
      <c r="B107" s="4">
        <v>1395024.68</v>
      </c>
      <c r="C107" s="4">
        <v>1527954.4000000004</v>
      </c>
      <c r="D107" s="4">
        <v>1481252</v>
      </c>
      <c r="E107" s="12">
        <v>1704725</v>
      </c>
      <c r="F107" s="12">
        <v>1751297</v>
      </c>
      <c r="G107" s="12">
        <v>1314300</v>
      </c>
      <c r="H107" s="12">
        <v>1614300</v>
      </c>
      <c r="I107" s="12">
        <f t="shared" ref="I107" si="38">H107+I262+I263</f>
        <v>1614300</v>
      </c>
    </row>
    <row r="108" spans="1:9" s="4" customFormat="1" ht="15">
      <c r="A108" s="12" t="s">
        <v>38</v>
      </c>
      <c r="B108" s="4">
        <v>965057.25000000023</v>
      </c>
      <c r="C108" s="4">
        <v>1105502.3899999999</v>
      </c>
      <c r="D108" s="4">
        <v>1152331</v>
      </c>
      <c r="E108" s="12">
        <v>1248590</v>
      </c>
      <c r="F108" s="12">
        <v>1554824</v>
      </c>
      <c r="G108" s="12">
        <v>1024740</v>
      </c>
      <c r="H108" s="12">
        <f t="shared" si="36"/>
        <v>1024740</v>
      </c>
      <c r="I108" s="12">
        <f>H108+'[5]Staff Projection'!N39+'[5]Staff Projection'!N40</f>
        <v>1024740</v>
      </c>
    </row>
    <row r="109" spans="1:9" s="4" customFormat="1" ht="15">
      <c r="A109" s="12" t="s">
        <v>39</v>
      </c>
      <c r="B109" s="12">
        <v>0</v>
      </c>
      <c r="C109" s="12">
        <v>0</v>
      </c>
      <c r="D109" s="12">
        <v>0</v>
      </c>
      <c r="E109" s="12">
        <f>D109</f>
        <v>0</v>
      </c>
      <c r="F109" s="12">
        <f t="shared" ref="F109:I110" si="39">E109</f>
        <v>0</v>
      </c>
      <c r="G109" s="12">
        <f t="shared" si="39"/>
        <v>0</v>
      </c>
      <c r="H109" s="12">
        <f t="shared" si="36"/>
        <v>0</v>
      </c>
      <c r="I109" s="12">
        <f t="shared" si="39"/>
        <v>0</v>
      </c>
    </row>
    <row r="110" spans="1:9" s="4" customFormat="1" ht="17.25">
      <c r="A110" s="12" t="s">
        <v>40</v>
      </c>
      <c r="B110" s="189">
        <v>220356.12</v>
      </c>
      <c r="C110" s="189">
        <v>9500</v>
      </c>
      <c r="D110" s="189">
        <v>75856</v>
      </c>
      <c r="E110" s="106">
        <v>0</v>
      </c>
      <c r="F110" s="106">
        <f t="shared" si="39"/>
        <v>0</v>
      </c>
      <c r="G110" s="106">
        <f t="shared" si="39"/>
        <v>0</v>
      </c>
      <c r="H110" s="106">
        <f t="shared" si="39"/>
        <v>0</v>
      </c>
      <c r="I110" s="106">
        <f t="shared" si="39"/>
        <v>0</v>
      </c>
    </row>
    <row r="111" spans="1:9" s="4" customFormat="1" ht="15">
      <c r="A111" s="12" t="s">
        <v>42</v>
      </c>
      <c r="B111" s="189">
        <f t="shared" ref="B111:I111" si="40">SUM(B105:B110)</f>
        <v>6469357.8100000015</v>
      </c>
      <c r="C111" s="189">
        <f t="shared" si="40"/>
        <v>7122170.3899999997</v>
      </c>
      <c r="D111" s="189">
        <f>SUM(D105:D110)+1</f>
        <v>7448682</v>
      </c>
      <c r="E111" s="189">
        <f t="shared" si="40"/>
        <v>7924408</v>
      </c>
      <c r="F111" s="189">
        <f t="shared" si="40"/>
        <v>8029169</v>
      </c>
      <c r="G111" s="189">
        <f t="shared" si="40"/>
        <v>5962191</v>
      </c>
      <c r="H111" s="189">
        <f t="shared" si="40"/>
        <v>6462191</v>
      </c>
      <c r="I111" s="189">
        <f t="shared" si="40"/>
        <v>6579931</v>
      </c>
    </row>
    <row r="112" spans="1:9" s="4" customFormat="1" ht="15">
      <c r="A112" s="186"/>
      <c r="B112" s="12"/>
      <c r="C112" s="12"/>
      <c r="D112" s="12"/>
      <c r="E112" s="12"/>
      <c r="F112" s="12"/>
      <c r="G112" s="12"/>
      <c r="H112" s="12"/>
      <c r="I112" s="12"/>
    </row>
    <row r="113" spans="1:9" s="4" customFormat="1" ht="15">
      <c r="A113" s="186" t="s">
        <v>52</v>
      </c>
      <c r="B113" s="12"/>
      <c r="C113" s="12"/>
      <c r="D113" s="12"/>
      <c r="E113" s="12"/>
      <c r="F113" s="12"/>
      <c r="G113" s="12"/>
      <c r="H113" s="12"/>
      <c r="I113" s="12"/>
    </row>
    <row r="114" spans="1:9" s="4" customFormat="1" ht="15">
      <c r="A114" s="12" t="s">
        <v>35</v>
      </c>
      <c r="B114" s="4">
        <v>4589457.2000000011</v>
      </c>
      <c r="C114" s="4">
        <v>4898901.120000001</v>
      </c>
      <c r="D114" s="4">
        <f>5200961</f>
        <v>5200961</v>
      </c>
      <c r="E114" s="12">
        <v>5016072</v>
      </c>
      <c r="F114" s="12">
        <v>5408690</v>
      </c>
      <c r="G114" s="12">
        <v>6773874</v>
      </c>
      <c r="H114" s="12">
        <v>7136535</v>
      </c>
      <c r="I114" s="12">
        <f>+H114*1.04</f>
        <v>7421996.4000000004</v>
      </c>
    </row>
    <row r="115" spans="1:9" s="4" customFormat="1" ht="15">
      <c r="A115" s="12" t="s">
        <v>36</v>
      </c>
      <c r="B115" s="4">
        <v>499651.4</v>
      </c>
      <c r="C115" s="4">
        <v>478069.45000000007</v>
      </c>
      <c r="D115" s="4">
        <v>759611</v>
      </c>
      <c r="E115" s="12">
        <v>787287</v>
      </c>
      <c r="F115" s="12">
        <v>964043</v>
      </c>
      <c r="G115" s="12">
        <f t="shared" ref="G115:I117" si="41">F115</f>
        <v>964043</v>
      </c>
      <c r="H115" s="12">
        <f t="shared" ref="H115:H119" si="42">+G115</f>
        <v>964043</v>
      </c>
      <c r="I115" s="12">
        <f t="shared" si="41"/>
        <v>964043</v>
      </c>
    </row>
    <row r="116" spans="1:9" s="4" customFormat="1" ht="15">
      <c r="A116" s="12" t="s">
        <v>37</v>
      </c>
      <c r="B116" s="4">
        <v>184858.66999999998</v>
      </c>
      <c r="C116" s="4">
        <v>130415.83000000002</v>
      </c>
      <c r="D116" s="4">
        <v>177552</v>
      </c>
      <c r="E116" s="12">
        <v>137270</v>
      </c>
      <c r="F116" s="12">
        <v>148045</v>
      </c>
      <c r="G116" s="12">
        <f t="shared" si="41"/>
        <v>148045</v>
      </c>
      <c r="H116" s="12">
        <f t="shared" si="42"/>
        <v>148045</v>
      </c>
      <c r="I116" s="12">
        <f t="shared" si="41"/>
        <v>148045</v>
      </c>
    </row>
    <row r="117" spans="1:9" s="4" customFormat="1" ht="15">
      <c r="A117" s="12" t="s">
        <v>38</v>
      </c>
      <c r="B117" s="4">
        <v>304126.79000000004</v>
      </c>
      <c r="C117" s="4">
        <v>348320.76000000007</v>
      </c>
      <c r="D117" s="4">
        <v>398178</v>
      </c>
      <c r="E117" s="12">
        <v>353607</v>
      </c>
      <c r="F117" s="12">
        <v>548022</v>
      </c>
      <c r="G117" s="12">
        <f t="shared" si="41"/>
        <v>548022</v>
      </c>
      <c r="H117" s="12">
        <f t="shared" si="42"/>
        <v>548022</v>
      </c>
      <c r="I117" s="12">
        <f t="shared" si="41"/>
        <v>548022</v>
      </c>
    </row>
    <row r="118" spans="1:9" s="4" customFormat="1" ht="15">
      <c r="A118" s="12" t="s">
        <v>39</v>
      </c>
      <c r="B118" s="12">
        <v>0</v>
      </c>
      <c r="C118" s="12">
        <v>0</v>
      </c>
      <c r="D118" s="12">
        <v>0</v>
      </c>
      <c r="E118" s="12">
        <f>D118</f>
        <v>0</v>
      </c>
      <c r="F118" s="12">
        <f t="shared" ref="F118:I119" si="43">E118</f>
        <v>0</v>
      </c>
      <c r="G118" s="12">
        <f t="shared" si="43"/>
        <v>0</v>
      </c>
      <c r="H118" s="12">
        <f t="shared" si="42"/>
        <v>0</v>
      </c>
      <c r="I118" s="12">
        <f t="shared" si="43"/>
        <v>0</v>
      </c>
    </row>
    <row r="119" spans="1:9" s="4" customFormat="1" ht="17.25">
      <c r="A119" s="12" t="s">
        <v>40</v>
      </c>
      <c r="B119" s="189">
        <v>0</v>
      </c>
      <c r="C119" s="189">
        <v>0</v>
      </c>
      <c r="D119" s="189">
        <v>0</v>
      </c>
      <c r="E119" s="106">
        <f>D119</f>
        <v>0</v>
      </c>
      <c r="F119" s="106">
        <f t="shared" si="43"/>
        <v>0</v>
      </c>
      <c r="G119" s="106">
        <f t="shared" si="43"/>
        <v>0</v>
      </c>
      <c r="H119" s="106">
        <f t="shared" si="42"/>
        <v>0</v>
      </c>
      <c r="I119" s="106">
        <f t="shared" si="43"/>
        <v>0</v>
      </c>
    </row>
    <row r="120" spans="1:9" s="4" customFormat="1" ht="15">
      <c r="A120" s="12" t="s">
        <v>42</v>
      </c>
      <c r="B120" s="189">
        <f t="shared" ref="B120:I120" si="44">SUM(B114:B119)</f>
        <v>5578094.0600000015</v>
      </c>
      <c r="C120" s="189">
        <f t="shared" si="44"/>
        <v>5855707.1600000011</v>
      </c>
      <c r="D120" s="189">
        <f>SUM(D114:D119)+1</f>
        <v>6536303</v>
      </c>
      <c r="E120" s="189">
        <f t="shared" si="44"/>
        <v>6294236</v>
      </c>
      <c r="F120" s="189">
        <f t="shared" si="44"/>
        <v>7068800</v>
      </c>
      <c r="G120" s="189">
        <f t="shared" si="44"/>
        <v>8433984</v>
      </c>
      <c r="H120" s="189">
        <f t="shared" si="44"/>
        <v>8796645</v>
      </c>
      <c r="I120" s="189">
        <f t="shared" si="44"/>
        <v>9082106.4000000004</v>
      </c>
    </row>
    <row r="121" spans="1:9" s="4" customFormat="1" ht="15">
      <c r="A121" s="12"/>
      <c r="B121" s="12"/>
      <c r="C121" s="189"/>
      <c r="D121" s="12"/>
      <c r="E121" s="189"/>
      <c r="F121" s="189"/>
      <c r="G121" s="189"/>
      <c r="H121" s="189"/>
      <c r="I121" s="189"/>
    </row>
    <row r="122" spans="1:9" s="4" customFormat="1" ht="15">
      <c r="A122" s="186" t="s">
        <v>53</v>
      </c>
      <c r="B122" s="12"/>
      <c r="C122" s="12"/>
      <c r="D122" s="12"/>
      <c r="E122" s="12"/>
      <c r="F122" s="12"/>
      <c r="G122" s="12"/>
      <c r="H122" s="12"/>
      <c r="I122" s="12"/>
    </row>
    <row r="123" spans="1:9" s="4" customFormat="1" ht="15">
      <c r="A123" s="12" t="s">
        <v>35</v>
      </c>
      <c r="B123" s="4">
        <v>3087388.8200000003</v>
      </c>
      <c r="C123" s="4">
        <v>3316224.3799999994</v>
      </c>
      <c r="D123" s="4">
        <v>3754288</v>
      </c>
      <c r="E123" s="12">
        <v>4244069</v>
      </c>
      <c r="F123" s="12">
        <v>4802337</v>
      </c>
      <c r="G123" s="12">
        <v>4602300</v>
      </c>
      <c r="H123" s="12">
        <v>5005028</v>
      </c>
      <c r="I123" s="12">
        <f>+H123*1.04</f>
        <v>5205229.12</v>
      </c>
    </row>
    <row r="124" spans="1:9" s="4" customFormat="1" ht="15">
      <c r="A124" s="12" t="s">
        <v>36</v>
      </c>
      <c r="B124" s="4">
        <v>12858717.610000003</v>
      </c>
      <c r="C124" s="4">
        <v>12879617.769999998</v>
      </c>
      <c r="D124" s="4">
        <v>14270974</v>
      </c>
      <c r="E124" s="12">
        <v>16095993</v>
      </c>
      <c r="F124" s="12">
        <v>16805166</v>
      </c>
      <c r="G124" s="12">
        <v>15595000</v>
      </c>
      <c r="H124" s="12">
        <v>16205000</v>
      </c>
      <c r="I124" s="12">
        <v>16076252</v>
      </c>
    </row>
    <row r="125" spans="1:9" s="4" customFormat="1" ht="15">
      <c r="A125" s="12" t="s">
        <v>37</v>
      </c>
      <c r="B125" s="4">
        <v>916170.06</v>
      </c>
      <c r="C125" s="4">
        <v>1116050.04</v>
      </c>
      <c r="D125" s="4">
        <v>1158663</v>
      </c>
      <c r="E125" s="12">
        <v>1428537</v>
      </c>
      <c r="F125" s="12">
        <v>1136872</v>
      </c>
      <c r="G125" s="12">
        <v>1013184</v>
      </c>
      <c r="H125" s="12">
        <f t="shared" ref="H125:H128" si="45">+G125</f>
        <v>1013184</v>
      </c>
      <c r="I125" s="12">
        <f t="shared" ref="I125:I126" si="46">H125</f>
        <v>1013184</v>
      </c>
    </row>
    <row r="126" spans="1:9" s="4" customFormat="1" ht="15">
      <c r="A126" s="12" t="s">
        <v>38</v>
      </c>
      <c r="B126" s="4">
        <v>465636.73000000004</v>
      </c>
      <c r="C126" s="4">
        <v>484029.29</v>
      </c>
      <c r="D126" s="4">
        <v>553697</v>
      </c>
      <c r="E126" s="12">
        <v>826217</v>
      </c>
      <c r="F126" s="12">
        <v>1134217</v>
      </c>
      <c r="G126" s="12">
        <v>750000</v>
      </c>
      <c r="H126" s="12">
        <f t="shared" si="45"/>
        <v>750000</v>
      </c>
      <c r="I126" s="12">
        <f t="shared" si="46"/>
        <v>750000</v>
      </c>
    </row>
    <row r="127" spans="1:9" s="4" customFormat="1" ht="15">
      <c r="A127" s="12" t="s">
        <v>39</v>
      </c>
      <c r="B127" s="12">
        <v>0</v>
      </c>
      <c r="C127" s="12">
        <v>0</v>
      </c>
      <c r="D127" s="12">
        <v>0</v>
      </c>
      <c r="E127" s="12">
        <f>D127</f>
        <v>0</v>
      </c>
      <c r="F127" s="12">
        <f t="shared" ref="F127:I128" si="47">E127</f>
        <v>0</v>
      </c>
      <c r="G127" s="12">
        <f t="shared" si="47"/>
        <v>0</v>
      </c>
      <c r="H127" s="12">
        <f t="shared" si="45"/>
        <v>0</v>
      </c>
      <c r="I127" s="12">
        <f t="shared" si="47"/>
        <v>0</v>
      </c>
    </row>
    <row r="128" spans="1:9" s="4" customFormat="1" ht="17.25">
      <c r="A128" s="12" t="s">
        <v>40</v>
      </c>
      <c r="B128" s="189">
        <v>348192.54000000004</v>
      </c>
      <c r="C128" s="189">
        <v>130298.34</v>
      </c>
      <c r="D128" s="189">
        <v>403364</v>
      </c>
      <c r="E128" s="106">
        <v>432879</v>
      </c>
      <c r="F128" s="106">
        <v>550379</v>
      </c>
      <c r="G128" s="106">
        <f t="shared" si="47"/>
        <v>550379</v>
      </c>
      <c r="H128" s="106">
        <f t="shared" si="45"/>
        <v>550379</v>
      </c>
      <c r="I128" s="106">
        <f t="shared" si="47"/>
        <v>550379</v>
      </c>
    </row>
    <row r="129" spans="1:9" s="4" customFormat="1" ht="15">
      <c r="A129" s="12" t="s">
        <v>42</v>
      </c>
      <c r="B129" s="189">
        <f t="shared" ref="B129:I129" si="48">SUM(B123:B128)</f>
        <v>17676105.760000002</v>
      </c>
      <c r="C129" s="189">
        <f t="shared" si="48"/>
        <v>17926219.819999997</v>
      </c>
      <c r="D129" s="189">
        <f>SUM(D123:D128)+1</f>
        <v>20140987</v>
      </c>
      <c r="E129" s="189">
        <f t="shared" si="48"/>
        <v>23027695</v>
      </c>
      <c r="F129" s="189">
        <f>SUM(F123:F128)-1</f>
        <v>24428970</v>
      </c>
      <c r="G129" s="189">
        <f t="shared" si="48"/>
        <v>22510863</v>
      </c>
      <c r="H129" s="189">
        <f t="shared" si="48"/>
        <v>23523591</v>
      </c>
      <c r="I129" s="189">
        <f t="shared" si="48"/>
        <v>23595044.120000001</v>
      </c>
    </row>
    <row r="130" spans="1:9" s="4" customFormat="1" ht="15">
      <c r="A130" s="186"/>
      <c r="B130" s="189"/>
      <c r="C130" s="189"/>
      <c r="D130" s="189"/>
      <c r="E130" s="189"/>
      <c r="F130" s="189"/>
      <c r="G130" s="189"/>
      <c r="H130" s="189"/>
      <c r="I130" s="189"/>
    </row>
    <row r="131" spans="1:9" s="4" customFormat="1" ht="15">
      <c r="A131" s="186" t="s">
        <v>55</v>
      </c>
      <c r="B131" s="12"/>
      <c r="C131" s="12"/>
      <c r="D131" s="12"/>
      <c r="E131" s="12"/>
      <c r="F131" s="12"/>
      <c r="G131" s="12"/>
      <c r="H131" s="12"/>
      <c r="I131" s="12"/>
    </row>
    <row r="132" spans="1:9" s="4" customFormat="1" ht="15">
      <c r="A132" s="12" t="s">
        <v>35</v>
      </c>
      <c r="B132" s="4">
        <v>372023.16000000003</v>
      </c>
      <c r="C132" s="4">
        <v>254664.02000000002</v>
      </c>
      <c r="D132" s="4">
        <v>293775</v>
      </c>
      <c r="E132" s="12">
        <v>423832</v>
      </c>
      <c r="F132" s="12">
        <v>421602</v>
      </c>
      <c r="G132" s="12">
        <v>421602</v>
      </c>
      <c r="H132" s="12">
        <f t="shared" ref="H132:H136" si="49">+G132</f>
        <v>421602</v>
      </c>
      <c r="I132" s="12">
        <f>+H132*1.04</f>
        <v>438466.08</v>
      </c>
    </row>
    <row r="133" spans="1:9" s="4" customFormat="1" ht="15">
      <c r="A133" s="12" t="s">
        <v>36</v>
      </c>
      <c r="B133" s="4">
        <v>873978.23</v>
      </c>
      <c r="C133" s="4">
        <v>875463.42999999993</v>
      </c>
      <c r="D133" s="4">
        <v>1259987</v>
      </c>
      <c r="E133" s="12">
        <v>1538172</v>
      </c>
      <c r="F133" s="12">
        <v>1488553</v>
      </c>
      <c r="G133" s="12">
        <v>1386442</v>
      </c>
      <c r="H133" s="12">
        <v>1488553</v>
      </c>
      <c r="I133" s="12">
        <f t="shared" ref="F133:I137" si="50">H133</f>
        <v>1488553</v>
      </c>
    </row>
    <row r="134" spans="1:9" s="4" customFormat="1" ht="15">
      <c r="A134" s="12" t="s">
        <v>37</v>
      </c>
      <c r="B134" s="4">
        <v>234918.77999999997</v>
      </c>
      <c r="C134" s="4">
        <v>156444.34999999998</v>
      </c>
      <c r="D134" s="4">
        <v>263657</v>
      </c>
      <c r="E134" s="12">
        <v>147714</v>
      </c>
      <c r="F134" s="12">
        <v>200544</v>
      </c>
      <c r="G134" s="12">
        <v>180500</v>
      </c>
      <c r="H134" s="12">
        <f t="shared" si="49"/>
        <v>180500</v>
      </c>
      <c r="I134" s="12">
        <f t="shared" si="50"/>
        <v>180500</v>
      </c>
    </row>
    <row r="135" spans="1:9" s="4" customFormat="1" ht="15">
      <c r="A135" s="12" t="s">
        <v>38</v>
      </c>
      <c r="B135" s="4">
        <v>6767.1</v>
      </c>
      <c r="C135" s="4">
        <v>3610.9100000000003</v>
      </c>
      <c r="D135" s="4">
        <v>3844</v>
      </c>
      <c r="E135" s="12">
        <v>14399</v>
      </c>
      <c r="F135" s="12">
        <v>12647</v>
      </c>
      <c r="G135" s="12">
        <f t="shared" ref="G135:I135" si="51">E135</f>
        <v>14399</v>
      </c>
      <c r="H135" s="12">
        <f t="shared" si="49"/>
        <v>14399</v>
      </c>
      <c r="I135" s="12">
        <f t="shared" si="51"/>
        <v>14399</v>
      </c>
    </row>
    <row r="136" spans="1:9" s="4" customFormat="1" ht="15">
      <c r="A136" s="12" t="s">
        <v>39</v>
      </c>
      <c r="B136" s="12">
        <v>0</v>
      </c>
      <c r="C136" s="12">
        <v>0</v>
      </c>
      <c r="D136" s="12">
        <v>0</v>
      </c>
      <c r="E136" s="12">
        <f>D136</f>
        <v>0</v>
      </c>
      <c r="F136" s="12">
        <f t="shared" si="50"/>
        <v>0</v>
      </c>
      <c r="G136" s="12">
        <f t="shared" si="50"/>
        <v>0</v>
      </c>
      <c r="H136" s="12">
        <f t="shared" si="49"/>
        <v>0</v>
      </c>
      <c r="I136" s="12">
        <f t="shared" si="50"/>
        <v>0</v>
      </c>
    </row>
    <row r="137" spans="1:9" s="4" customFormat="1" ht="17.25">
      <c r="A137" s="12" t="s">
        <v>40</v>
      </c>
      <c r="B137" s="189">
        <v>237288.76</v>
      </c>
      <c r="C137" s="189">
        <v>328685.09999999998</v>
      </c>
      <c r="D137" s="189">
        <v>208765</v>
      </c>
      <c r="E137" s="106">
        <v>10100</v>
      </c>
      <c r="F137" s="106">
        <v>10202</v>
      </c>
      <c r="G137" s="106">
        <f t="shared" si="50"/>
        <v>10202</v>
      </c>
      <c r="H137" s="106">
        <f t="shared" si="50"/>
        <v>10202</v>
      </c>
      <c r="I137" s="106">
        <f t="shared" si="50"/>
        <v>10202</v>
      </c>
    </row>
    <row r="138" spans="1:9" s="4" customFormat="1" ht="15">
      <c r="A138" s="12" t="s">
        <v>42</v>
      </c>
      <c r="B138" s="189">
        <f t="shared" ref="B138:I138" si="52">SUM(B132:B137)</f>
        <v>1724976.0300000003</v>
      </c>
      <c r="C138" s="189">
        <f t="shared" si="52"/>
        <v>1618867.8099999996</v>
      </c>
      <c r="D138" s="189">
        <f>SUM(D132:D137)</f>
        <v>2030028</v>
      </c>
      <c r="E138" s="189">
        <f t="shared" si="52"/>
        <v>2134217</v>
      </c>
      <c r="F138" s="189">
        <f t="shared" si="52"/>
        <v>2133548</v>
      </c>
      <c r="G138" s="189">
        <f t="shared" si="52"/>
        <v>2013145</v>
      </c>
      <c r="H138" s="189">
        <f t="shared" si="52"/>
        <v>2115256</v>
      </c>
      <c r="I138" s="189">
        <f t="shared" si="52"/>
        <v>2132120.08</v>
      </c>
    </row>
    <row r="139" spans="1:9" s="4" customFormat="1" ht="15">
      <c r="A139" s="186"/>
      <c r="B139" s="12"/>
      <c r="C139" s="12"/>
      <c r="D139" s="12"/>
      <c r="E139" s="12"/>
      <c r="F139" s="12"/>
      <c r="G139" s="12"/>
      <c r="H139" s="12"/>
      <c r="I139" s="12"/>
    </row>
    <row r="140" spans="1:9" s="4" customFormat="1" ht="15">
      <c r="A140" s="186" t="s">
        <v>56</v>
      </c>
      <c r="B140" s="12"/>
      <c r="C140" s="12"/>
      <c r="D140" s="12"/>
      <c r="E140" s="12"/>
      <c r="F140" s="12"/>
      <c r="G140" s="12"/>
      <c r="H140" s="12"/>
      <c r="I140" s="12"/>
    </row>
    <row r="141" spans="1:9" s="4" customFormat="1" ht="15">
      <c r="A141" s="12" t="s">
        <v>35</v>
      </c>
      <c r="B141" s="4">
        <v>3676605.310000001</v>
      </c>
      <c r="C141" s="4">
        <v>3923959.4600000018</v>
      </c>
      <c r="D141" s="4">
        <v>4144524</v>
      </c>
      <c r="E141" s="12">
        <v>4785152</v>
      </c>
      <c r="F141" s="12">
        <v>4357280</v>
      </c>
      <c r="G141" s="12">
        <v>4137280</v>
      </c>
      <c r="H141" s="12">
        <v>4337280</v>
      </c>
      <c r="I141" s="12">
        <f>+H141*1.04</f>
        <v>4510771.2000000002</v>
      </c>
    </row>
    <row r="142" spans="1:9" s="4" customFormat="1" ht="15">
      <c r="A142" s="12" t="s">
        <v>36</v>
      </c>
      <c r="B142" s="4">
        <v>1196584.18</v>
      </c>
      <c r="C142" s="4">
        <v>1003715.15</v>
      </c>
      <c r="D142" s="4">
        <v>1108997</v>
      </c>
      <c r="E142" s="12">
        <v>1536695</v>
      </c>
      <c r="F142" s="12">
        <v>1572200</v>
      </c>
      <c r="G142" s="12">
        <f t="shared" ref="F142:I146" si="53">F142</f>
        <v>1572200</v>
      </c>
      <c r="H142" s="12">
        <f t="shared" ref="H142:H146" si="54">+G142</f>
        <v>1572200</v>
      </c>
      <c r="I142" s="12">
        <f t="shared" si="53"/>
        <v>1572200</v>
      </c>
    </row>
    <row r="143" spans="1:9" s="4" customFormat="1" ht="15">
      <c r="A143" s="12" t="s">
        <v>37</v>
      </c>
      <c r="B143" s="4">
        <v>242512.13</v>
      </c>
      <c r="C143" s="4">
        <v>215829.78</v>
      </c>
      <c r="D143" s="4">
        <v>748152</v>
      </c>
      <c r="E143" s="12">
        <v>118412</v>
      </c>
      <c r="F143" s="12">
        <v>309062</v>
      </c>
      <c r="G143" s="12">
        <v>268162</v>
      </c>
      <c r="H143" s="12">
        <f t="shared" si="54"/>
        <v>268162</v>
      </c>
      <c r="I143" s="12">
        <f t="shared" si="53"/>
        <v>268162</v>
      </c>
    </row>
    <row r="144" spans="1:9" s="4" customFormat="1" ht="15">
      <c r="A144" s="12" t="s">
        <v>38</v>
      </c>
      <c r="B144" s="4">
        <v>51294.850000000006</v>
      </c>
      <c r="C144" s="4">
        <v>36431.47</v>
      </c>
      <c r="D144" s="4">
        <v>65907</v>
      </c>
      <c r="E144" s="12">
        <v>68795</v>
      </c>
      <c r="F144" s="12">
        <v>78125</v>
      </c>
      <c r="G144" s="12">
        <v>76000</v>
      </c>
      <c r="H144" s="12">
        <f t="shared" si="54"/>
        <v>76000</v>
      </c>
      <c r="I144" s="12">
        <f>H144</f>
        <v>76000</v>
      </c>
    </row>
    <row r="145" spans="1:9" s="4" customFormat="1" ht="15">
      <c r="A145" s="12" t="s">
        <v>39</v>
      </c>
      <c r="B145" s="12">
        <v>0</v>
      </c>
      <c r="C145" s="12">
        <v>0</v>
      </c>
      <c r="D145" s="12">
        <v>0</v>
      </c>
      <c r="E145" s="12">
        <f>D145</f>
        <v>0</v>
      </c>
      <c r="F145" s="12">
        <f t="shared" si="53"/>
        <v>0</v>
      </c>
      <c r="G145" s="12">
        <f t="shared" si="53"/>
        <v>0</v>
      </c>
      <c r="H145" s="12">
        <f t="shared" si="54"/>
        <v>0</v>
      </c>
      <c r="I145" s="12">
        <f t="shared" si="53"/>
        <v>0</v>
      </c>
    </row>
    <row r="146" spans="1:9" s="4" customFormat="1" ht="17.25">
      <c r="A146" s="12" t="s">
        <v>40</v>
      </c>
      <c r="B146" s="189">
        <v>0</v>
      </c>
      <c r="C146" s="189">
        <v>68172.75</v>
      </c>
      <c r="D146" s="189">
        <v>0</v>
      </c>
      <c r="E146" s="106">
        <f>D146</f>
        <v>0</v>
      </c>
      <c r="F146" s="106">
        <f t="shared" si="53"/>
        <v>0</v>
      </c>
      <c r="G146" s="106">
        <f t="shared" si="53"/>
        <v>0</v>
      </c>
      <c r="H146" s="106">
        <f t="shared" si="54"/>
        <v>0</v>
      </c>
      <c r="I146" s="106">
        <f t="shared" si="53"/>
        <v>0</v>
      </c>
    </row>
    <row r="147" spans="1:9" s="4" customFormat="1" ht="15">
      <c r="A147" s="12" t="s">
        <v>42</v>
      </c>
      <c r="B147" s="189">
        <f t="shared" ref="B147:I147" si="55">SUM(B141:B146)</f>
        <v>5166996.4700000007</v>
      </c>
      <c r="C147" s="189">
        <f t="shared" si="55"/>
        <v>5248108.6100000022</v>
      </c>
      <c r="D147" s="189">
        <f>SUM(D141:D146)</f>
        <v>6067580</v>
      </c>
      <c r="E147" s="189">
        <f t="shared" si="55"/>
        <v>6509054</v>
      </c>
      <c r="F147" s="189">
        <f>SUM(F141:F146)+1</f>
        <v>6316668</v>
      </c>
      <c r="G147" s="189">
        <f t="shared" si="55"/>
        <v>6053642</v>
      </c>
      <c r="H147" s="189">
        <f t="shared" si="55"/>
        <v>6253642</v>
      </c>
      <c r="I147" s="189">
        <f t="shared" si="55"/>
        <v>6427133.2000000002</v>
      </c>
    </row>
    <row r="148" spans="1:9" s="4" customFormat="1" ht="15">
      <c r="A148" s="186" t="s">
        <v>57</v>
      </c>
      <c r="B148" s="12"/>
      <c r="C148" s="12"/>
      <c r="D148" s="12"/>
      <c r="E148" s="12"/>
      <c r="F148" s="12"/>
      <c r="G148" s="12"/>
      <c r="H148" s="12"/>
      <c r="I148" s="12"/>
    </row>
    <row r="149" spans="1:9" s="4" customFormat="1" ht="15">
      <c r="A149" s="12" t="s">
        <v>35</v>
      </c>
      <c r="B149" s="4">
        <v>109638.68000000001</v>
      </c>
      <c r="C149" s="4">
        <v>95501.260000000009</v>
      </c>
      <c r="D149" s="4">
        <v>101994</v>
      </c>
      <c r="E149" s="12">
        <v>101181</v>
      </c>
      <c r="F149" s="12">
        <v>112389</v>
      </c>
      <c r="G149" s="12">
        <v>102439</v>
      </c>
      <c r="H149" s="12">
        <v>107439</v>
      </c>
      <c r="I149" s="12">
        <f>+H149*1.03</f>
        <v>110662.17</v>
      </c>
    </row>
    <row r="150" spans="1:9" s="4" customFormat="1" ht="15">
      <c r="A150" s="12" t="s">
        <v>36</v>
      </c>
      <c r="B150" s="12">
        <v>1497</v>
      </c>
      <c r="C150" s="12">
        <v>1256</v>
      </c>
      <c r="D150" s="12">
        <v>1150</v>
      </c>
      <c r="E150" s="12">
        <v>4976</v>
      </c>
      <c r="F150" s="12">
        <v>171</v>
      </c>
      <c r="G150" s="12">
        <f t="shared" ref="F150:I154" si="56">F150</f>
        <v>171</v>
      </c>
      <c r="H150" s="12">
        <f t="shared" ref="H150:H153" si="57">+G150</f>
        <v>171</v>
      </c>
      <c r="I150" s="12">
        <f t="shared" si="56"/>
        <v>171</v>
      </c>
    </row>
    <row r="151" spans="1:9" s="4" customFormat="1" ht="15">
      <c r="A151" s="12" t="s">
        <v>37</v>
      </c>
      <c r="B151" s="4">
        <v>15837.08</v>
      </c>
      <c r="C151" s="4">
        <v>2527.04</v>
      </c>
      <c r="D151" s="4">
        <v>8526</v>
      </c>
      <c r="E151" s="12">
        <v>4793</v>
      </c>
      <c r="F151" s="12">
        <v>4793</v>
      </c>
      <c r="G151" s="12">
        <f t="shared" si="56"/>
        <v>4793</v>
      </c>
      <c r="H151" s="12">
        <v>5477</v>
      </c>
      <c r="I151" s="12">
        <f t="shared" si="56"/>
        <v>5477</v>
      </c>
    </row>
    <row r="152" spans="1:9" s="4" customFormat="1" ht="15">
      <c r="A152" s="12" t="s">
        <v>38</v>
      </c>
      <c r="B152" s="4">
        <v>13976.06</v>
      </c>
      <c r="C152" s="4">
        <v>12455.65</v>
      </c>
      <c r="D152" s="4">
        <v>18879</v>
      </c>
      <c r="E152" s="12">
        <v>22967</v>
      </c>
      <c r="F152" s="12">
        <v>24772</v>
      </c>
      <c r="G152" s="12">
        <f>F152</f>
        <v>24772</v>
      </c>
      <c r="H152" s="12">
        <f t="shared" si="57"/>
        <v>24772</v>
      </c>
      <c r="I152" s="12">
        <f>H152</f>
        <v>24772</v>
      </c>
    </row>
    <row r="153" spans="1:9" s="4" customFormat="1" ht="15">
      <c r="A153" s="12" t="s">
        <v>39</v>
      </c>
      <c r="B153" s="12">
        <v>0</v>
      </c>
      <c r="C153" s="12">
        <v>0</v>
      </c>
      <c r="D153" s="12">
        <v>0</v>
      </c>
      <c r="E153" s="12">
        <f>D153</f>
        <v>0</v>
      </c>
      <c r="F153" s="12">
        <f t="shared" si="56"/>
        <v>0</v>
      </c>
      <c r="G153" s="12">
        <f t="shared" si="56"/>
        <v>0</v>
      </c>
      <c r="H153" s="12">
        <f t="shared" si="57"/>
        <v>0</v>
      </c>
      <c r="I153" s="12">
        <f t="shared" si="56"/>
        <v>0</v>
      </c>
    </row>
    <row r="154" spans="1:9" s="4" customFormat="1" ht="17.25">
      <c r="A154" s="12" t="s">
        <v>40</v>
      </c>
      <c r="B154" s="189">
        <v>0</v>
      </c>
      <c r="C154" s="189">
        <v>0</v>
      </c>
      <c r="D154" s="189">
        <v>0</v>
      </c>
      <c r="E154" s="106">
        <f>D154</f>
        <v>0</v>
      </c>
      <c r="F154" s="106">
        <f t="shared" si="56"/>
        <v>0</v>
      </c>
      <c r="G154" s="106">
        <f t="shared" si="56"/>
        <v>0</v>
      </c>
      <c r="H154" s="106">
        <f t="shared" si="56"/>
        <v>0</v>
      </c>
      <c r="I154" s="106">
        <f t="shared" si="56"/>
        <v>0</v>
      </c>
    </row>
    <row r="155" spans="1:9" s="4" customFormat="1" ht="15">
      <c r="A155" s="12" t="s">
        <v>42</v>
      </c>
      <c r="B155" s="189">
        <f t="shared" ref="B155:I155" si="58">SUM(B149:B154)</f>
        <v>140948.82</v>
      </c>
      <c r="C155" s="189">
        <f t="shared" si="58"/>
        <v>111739.95</v>
      </c>
      <c r="D155" s="189">
        <f>SUM(D149:D154)</f>
        <v>130549</v>
      </c>
      <c r="E155" s="189">
        <f t="shared" si="58"/>
        <v>133917</v>
      </c>
      <c r="F155" s="189">
        <f t="shared" si="58"/>
        <v>142125</v>
      </c>
      <c r="G155" s="189">
        <f t="shared" si="58"/>
        <v>132175</v>
      </c>
      <c r="H155" s="189">
        <f t="shared" si="58"/>
        <v>137859</v>
      </c>
      <c r="I155" s="189">
        <f t="shared" si="58"/>
        <v>141082.16999999998</v>
      </c>
    </row>
    <row r="156" spans="1:9" s="4" customFormat="1" ht="15">
      <c r="A156" s="186"/>
      <c r="B156" s="12"/>
      <c r="C156" s="12"/>
      <c r="D156" s="12"/>
      <c r="E156" s="12"/>
      <c r="F156" s="12"/>
      <c r="G156" s="12"/>
      <c r="H156" s="12"/>
      <c r="I156" s="12"/>
    </row>
    <row r="157" spans="1:9" s="4" customFormat="1" ht="15">
      <c r="A157" s="186" t="s">
        <v>181</v>
      </c>
      <c r="B157" s="12"/>
      <c r="C157" s="12"/>
      <c r="D157" s="12"/>
      <c r="E157" s="12"/>
      <c r="F157" s="12"/>
      <c r="G157" s="12"/>
      <c r="H157" s="12"/>
      <c r="I157" s="12"/>
    </row>
    <row r="158" spans="1:9" s="4" customFormat="1" ht="15">
      <c r="A158" s="12" t="s">
        <v>35</v>
      </c>
      <c r="B158" s="12">
        <f t="shared" ref="B158:B161" si="59">0+0</f>
        <v>0</v>
      </c>
      <c r="C158" s="12">
        <v>0</v>
      </c>
      <c r="D158" s="12">
        <f t="shared" ref="D158:D161" si="60">0+0</f>
        <v>0</v>
      </c>
      <c r="E158" s="12">
        <f>ROUND((D$158*E$252),0)</f>
        <v>0</v>
      </c>
      <c r="F158" s="12">
        <v>0</v>
      </c>
      <c r="G158" s="12">
        <f t="shared" ref="G158:I158" si="61">ROUND((F$158*G$252),0)</f>
        <v>0</v>
      </c>
      <c r="H158" s="12">
        <f t="shared" si="61"/>
        <v>0</v>
      </c>
      <c r="I158" s="12">
        <f t="shared" si="61"/>
        <v>0</v>
      </c>
    </row>
    <row r="159" spans="1:9" s="4" customFormat="1" ht="15">
      <c r="A159" s="12" t="s">
        <v>36</v>
      </c>
      <c r="B159" s="12">
        <f t="shared" si="59"/>
        <v>0</v>
      </c>
      <c r="C159" s="12">
        <v>0</v>
      </c>
      <c r="D159" s="12">
        <f t="shared" si="60"/>
        <v>0</v>
      </c>
      <c r="E159" s="12">
        <f>D159</f>
        <v>0</v>
      </c>
      <c r="F159" s="12">
        <v>0</v>
      </c>
      <c r="G159" s="12">
        <f t="shared" ref="F159:I163" si="62">F159</f>
        <v>0</v>
      </c>
      <c r="H159" s="12">
        <f t="shared" si="62"/>
        <v>0</v>
      </c>
      <c r="I159" s="12">
        <f t="shared" si="62"/>
        <v>0</v>
      </c>
    </row>
    <row r="160" spans="1:9" s="4" customFormat="1" ht="15">
      <c r="A160" s="12" t="s">
        <v>37</v>
      </c>
      <c r="B160" s="12">
        <f t="shared" si="59"/>
        <v>0</v>
      </c>
      <c r="C160" s="12">
        <v>0</v>
      </c>
      <c r="D160" s="12">
        <f t="shared" si="60"/>
        <v>0</v>
      </c>
      <c r="E160" s="12">
        <f>D160</f>
        <v>0</v>
      </c>
      <c r="F160" s="12">
        <v>0</v>
      </c>
      <c r="G160" s="12">
        <f t="shared" si="62"/>
        <v>0</v>
      </c>
      <c r="H160" s="12">
        <f t="shared" si="62"/>
        <v>0</v>
      </c>
      <c r="I160" s="12">
        <f t="shared" si="62"/>
        <v>0</v>
      </c>
    </row>
    <row r="161" spans="1:9" s="4" customFormat="1" ht="15">
      <c r="A161" s="12" t="s">
        <v>38</v>
      </c>
      <c r="B161" s="12">
        <f t="shared" si="59"/>
        <v>0</v>
      </c>
      <c r="C161" s="12">
        <v>0</v>
      </c>
      <c r="D161" s="12">
        <f t="shared" si="60"/>
        <v>0</v>
      </c>
      <c r="E161" s="12">
        <f>D161</f>
        <v>0</v>
      </c>
      <c r="F161" s="12">
        <v>0</v>
      </c>
      <c r="G161" s="12">
        <f t="shared" si="62"/>
        <v>0</v>
      </c>
      <c r="H161" s="12">
        <f t="shared" si="62"/>
        <v>0</v>
      </c>
      <c r="I161" s="12">
        <f t="shared" si="62"/>
        <v>0</v>
      </c>
    </row>
    <row r="162" spans="1:9" s="4" customFormat="1" ht="15">
      <c r="A162" s="12" t="s">
        <v>39</v>
      </c>
      <c r="B162" s="12">
        <v>0</v>
      </c>
      <c r="C162" s="12">
        <v>0</v>
      </c>
      <c r="D162" s="12">
        <v>0</v>
      </c>
      <c r="E162" s="12">
        <f>D162</f>
        <v>0</v>
      </c>
      <c r="F162" s="12">
        <v>0</v>
      </c>
      <c r="G162" s="12">
        <f t="shared" si="62"/>
        <v>0</v>
      </c>
      <c r="H162" s="12">
        <f t="shared" si="62"/>
        <v>0</v>
      </c>
      <c r="I162" s="12">
        <f t="shared" si="62"/>
        <v>0</v>
      </c>
    </row>
    <row r="163" spans="1:9" s="4" customFormat="1" ht="17.25">
      <c r="A163" s="12" t="s">
        <v>40</v>
      </c>
      <c r="B163" s="189">
        <v>0</v>
      </c>
      <c r="C163" s="106">
        <v>0</v>
      </c>
      <c r="D163" s="189">
        <v>0</v>
      </c>
      <c r="E163" s="106">
        <f>D163</f>
        <v>0</v>
      </c>
      <c r="F163" s="106">
        <f t="shared" si="62"/>
        <v>0</v>
      </c>
      <c r="G163" s="106">
        <f t="shared" si="62"/>
        <v>0</v>
      </c>
      <c r="H163" s="106">
        <f t="shared" si="62"/>
        <v>0</v>
      </c>
      <c r="I163" s="106">
        <f t="shared" si="62"/>
        <v>0</v>
      </c>
    </row>
    <row r="164" spans="1:9" s="4" customFormat="1" ht="15">
      <c r="A164" s="12" t="s">
        <v>42</v>
      </c>
      <c r="B164" s="189">
        <f t="shared" ref="B164:I164" si="63">SUM(B158:B163)</f>
        <v>0</v>
      </c>
      <c r="C164" s="189">
        <f t="shared" si="63"/>
        <v>0</v>
      </c>
      <c r="D164" s="189">
        <f>SUM(D158:D163)</f>
        <v>0</v>
      </c>
      <c r="E164" s="189">
        <f t="shared" si="63"/>
        <v>0</v>
      </c>
      <c r="F164" s="189">
        <f t="shared" si="63"/>
        <v>0</v>
      </c>
      <c r="G164" s="189">
        <f t="shared" si="63"/>
        <v>0</v>
      </c>
      <c r="H164" s="189">
        <f t="shared" si="63"/>
        <v>0</v>
      </c>
      <c r="I164" s="189">
        <f t="shared" si="63"/>
        <v>0</v>
      </c>
    </row>
    <row r="165" spans="1:9" s="4" customFormat="1" ht="15">
      <c r="A165" s="186"/>
      <c r="B165" s="12"/>
      <c r="C165" s="12"/>
      <c r="D165" s="12"/>
      <c r="E165" s="12"/>
      <c r="F165" s="12"/>
      <c r="G165" s="12"/>
      <c r="H165" s="12"/>
      <c r="I165" s="12"/>
    </row>
    <row r="166" spans="1:9" s="4" customFormat="1" ht="15">
      <c r="A166" s="186" t="s">
        <v>60</v>
      </c>
      <c r="B166" s="12"/>
      <c r="C166" s="12"/>
      <c r="D166" s="12"/>
      <c r="E166" s="12"/>
      <c r="F166" s="12"/>
      <c r="G166" s="12"/>
      <c r="H166" s="12"/>
      <c r="I166" s="12"/>
    </row>
    <row r="167" spans="1:9" s="4" customFormat="1" ht="15">
      <c r="A167" s="12" t="s">
        <v>35</v>
      </c>
      <c r="B167" s="12">
        <v>0</v>
      </c>
      <c r="C167" s="12">
        <v>0</v>
      </c>
      <c r="D167" s="12">
        <v>0</v>
      </c>
      <c r="E167" s="12">
        <f>ROUND((D$158*E$252),0)</f>
        <v>0</v>
      </c>
      <c r="F167" s="12">
        <v>0</v>
      </c>
      <c r="G167" s="12">
        <f t="shared" ref="G167:I167" si="64">ROUND((F$158*G$252),0)</f>
        <v>0</v>
      </c>
      <c r="H167" s="12">
        <f t="shared" si="64"/>
        <v>0</v>
      </c>
      <c r="I167" s="12">
        <f t="shared" si="64"/>
        <v>0</v>
      </c>
    </row>
    <row r="168" spans="1:9" s="4" customFormat="1" ht="15">
      <c r="A168" s="12" t="s">
        <v>36</v>
      </c>
      <c r="B168" s="12">
        <v>80987.490000000005</v>
      </c>
      <c r="C168" s="12">
        <v>70169.14</v>
      </c>
      <c r="D168" s="12">
        <v>35147</v>
      </c>
      <c r="E168" s="12">
        <v>100000</v>
      </c>
      <c r="F168" s="12">
        <v>72448</v>
      </c>
      <c r="G168" s="12">
        <f t="shared" ref="G168:I172" si="65">F168</f>
        <v>72448</v>
      </c>
      <c r="H168" s="12">
        <f t="shared" si="65"/>
        <v>72448</v>
      </c>
      <c r="I168" s="12">
        <f t="shared" si="65"/>
        <v>72448</v>
      </c>
    </row>
    <row r="169" spans="1:9" s="4" customFormat="1" ht="15">
      <c r="A169" s="12" t="s">
        <v>37</v>
      </c>
      <c r="B169" s="12">
        <v>335672.99</v>
      </c>
      <c r="C169" s="12">
        <v>210008.47</v>
      </c>
      <c r="D169" s="12">
        <v>103820</v>
      </c>
      <c r="E169" s="12">
        <v>50000</v>
      </c>
      <c r="F169" s="12">
        <v>51000</v>
      </c>
      <c r="G169" s="12">
        <f t="shared" si="65"/>
        <v>51000</v>
      </c>
      <c r="H169" s="12">
        <f t="shared" si="65"/>
        <v>51000</v>
      </c>
      <c r="I169" s="12">
        <f t="shared" si="65"/>
        <v>51000</v>
      </c>
    </row>
    <row r="170" spans="1:9" s="4" customFormat="1" ht="15">
      <c r="A170" s="12" t="s">
        <v>38</v>
      </c>
      <c r="B170" s="12">
        <v>0</v>
      </c>
      <c r="C170" s="12">
        <v>5214.37</v>
      </c>
      <c r="D170" s="12">
        <v>0</v>
      </c>
      <c r="E170" s="12">
        <f>D170</f>
        <v>0</v>
      </c>
      <c r="F170" s="12">
        <v>0</v>
      </c>
      <c r="G170" s="12">
        <f t="shared" si="65"/>
        <v>0</v>
      </c>
      <c r="H170" s="12">
        <f t="shared" si="65"/>
        <v>0</v>
      </c>
      <c r="I170" s="12">
        <f t="shared" si="65"/>
        <v>0</v>
      </c>
    </row>
    <row r="171" spans="1:9" s="4" customFormat="1" ht="15">
      <c r="A171" s="12" t="s">
        <v>39</v>
      </c>
      <c r="B171" s="12">
        <v>0</v>
      </c>
      <c r="C171" s="12">
        <v>0</v>
      </c>
      <c r="D171" s="12">
        <v>0</v>
      </c>
      <c r="E171" s="12">
        <f>D171</f>
        <v>0</v>
      </c>
      <c r="F171" s="12">
        <v>0</v>
      </c>
      <c r="G171" s="12">
        <f t="shared" si="65"/>
        <v>0</v>
      </c>
      <c r="H171" s="12">
        <f t="shared" si="65"/>
        <v>0</v>
      </c>
      <c r="I171" s="12">
        <f t="shared" si="65"/>
        <v>0</v>
      </c>
    </row>
    <row r="172" spans="1:9" s="4" customFormat="1" ht="17.25">
      <c r="A172" s="12" t="s">
        <v>40</v>
      </c>
      <c r="B172" s="189">
        <v>24804.07</v>
      </c>
      <c r="C172" s="189">
        <v>561256.68000000005</v>
      </c>
      <c r="D172" s="189">
        <v>397194</v>
      </c>
      <c r="E172" s="106">
        <v>255000</v>
      </c>
      <c r="F172" s="106">
        <v>289652</v>
      </c>
      <c r="G172" s="106">
        <v>310307</v>
      </c>
      <c r="H172" s="106">
        <v>326552</v>
      </c>
      <c r="I172" s="106">
        <f t="shared" si="65"/>
        <v>326552</v>
      </c>
    </row>
    <row r="173" spans="1:9" s="4" customFormat="1" ht="15">
      <c r="A173" s="12" t="s">
        <v>42</v>
      </c>
      <c r="B173" s="189">
        <f t="shared" ref="B173:I173" si="66">SUM(B167:B172)</f>
        <v>441464.55</v>
      </c>
      <c r="C173" s="189">
        <f t="shared" si="66"/>
        <v>846648.66</v>
      </c>
      <c r="D173" s="189">
        <f>SUM(D167:D172)</f>
        <v>536161</v>
      </c>
      <c r="E173" s="189">
        <f t="shared" si="66"/>
        <v>405000</v>
      </c>
      <c r="F173" s="189">
        <f t="shared" si="66"/>
        <v>413100</v>
      </c>
      <c r="G173" s="189">
        <f t="shared" si="66"/>
        <v>433755</v>
      </c>
      <c r="H173" s="189">
        <f t="shared" si="66"/>
        <v>450000</v>
      </c>
      <c r="I173" s="189">
        <f t="shared" si="66"/>
        <v>450000</v>
      </c>
    </row>
    <row r="174" spans="1:9" s="4" customFormat="1" ht="15">
      <c r="A174" s="12"/>
      <c r="B174" s="12"/>
      <c r="C174" s="189"/>
      <c r="D174" s="12"/>
      <c r="E174" s="189"/>
      <c r="F174" s="189"/>
      <c r="G174" s="189"/>
      <c r="H174" s="189"/>
      <c r="I174" s="189"/>
    </row>
    <row r="175" spans="1:9" s="4" customFormat="1" ht="15">
      <c r="A175" s="190" t="s">
        <v>69</v>
      </c>
      <c r="B175" s="12"/>
      <c r="C175" s="12"/>
      <c r="D175" s="12"/>
      <c r="E175" s="12"/>
      <c r="F175" s="12"/>
      <c r="G175" s="12"/>
      <c r="H175" s="12"/>
      <c r="I175" s="12"/>
    </row>
    <row r="176" spans="1:9" s="4" customFormat="1" ht="15">
      <c r="A176" s="12" t="s">
        <v>35</v>
      </c>
      <c r="B176" s="12">
        <v>0</v>
      </c>
      <c r="C176" s="12">
        <v>0</v>
      </c>
      <c r="D176" s="12">
        <v>0</v>
      </c>
      <c r="E176" s="12">
        <f>ROUND((D$158*E$252),0)</f>
        <v>0</v>
      </c>
      <c r="F176" s="12">
        <v>0</v>
      </c>
      <c r="G176" s="12">
        <f t="shared" ref="G176:I176" si="67">ROUND((F$158*G$252),0)</f>
        <v>0</v>
      </c>
      <c r="H176" s="12">
        <f t="shared" si="67"/>
        <v>0</v>
      </c>
      <c r="I176" s="12">
        <f t="shared" si="67"/>
        <v>0</v>
      </c>
    </row>
    <row r="177" spans="1:9" s="4" customFormat="1" ht="15">
      <c r="A177" s="12" t="s">
        <v>36</v>
      </c>
      <c r="B177" s="12">
        <v>0</v>
      </c>
      <c r="C177" s="12">
        <v>0</v>
      </c>
      <c r="D177" s="12">
        <v>4456091</v>
      </c>
      <c r="E177" s="12">
        <v>3480895</v>
      </c>
      <c r="F177" s="12">
        <v>5780895</v>
      </c>
      <c r="G177" s="12">
        <v>6069940</v>
      </c>
      <c r="H177" s="12">
        <v>6373437</v>
      </c>
      <c r="I177" s="12">
        <v>6500000</v>
      </c>
    </row>
    <row r="178" spans="1:9" s="4" customFormat="1" ht="15">
      <c r="A178" s="12" t="s">
        <v>37</v>
      </c>
      <c r="B178" s="12">
        <v>0</v>
      </c>
      <c r="C178" s="12">
        <v>0</v>
      </c>
      <c r="D178" s="12">
        <v>0</v>
      </c>
      <c r="E178" s="12">
        <f>D178</f>
        <v>0</v>
      </c>
      <c r="F178" s="12">
        <f t="shared" ref="F178:I181" si="68">E178</f>
        <v>0</v>
      </c>
      <c r="G178" s="12">
        <f t="shared" si="68"/>
        <v>0</v>
      </c>
      <c r="H178" s="12">
        <f t="shared" si="68"/>
        <v>0</v>
      </c>
      <c r="I178" s="12">
        <f t="shared" si="68"/>
        <v>0</v>
      </c>
    </row>
    <row r="179" spans="1:9" s="4" customFormat="1" ht="15">
      <c r="A179" s="12" t="s">
        <v>38</v>
      </c>
      <c r="B179" s="12">
        <v>0</v>
      </c>
      <c r="C179" s="12">
        <v>0</v>
      </c>
      <c r="D179" s="12">
        <v>0</v>
      </c>
      <c r="E179" s="12">
        <f>D179</f>
        <v>0</v>
      </c>
      <c r="F179" s="12">
        <f t="shared" si="68"/>
        <v>0</v>
      </c>
      <c r="G179" s="12">
        <f t="shared" si="68"/>
        <v>0</v>
      </c>
      <c r="H179" s="12">
        <f t="shared" si="68"/>
        <v>0</v>
      </c>
      <c r="I179" s="12">
        <f t="shared" si="68"/>
        <v>0</v>
      </c>
    </row>
    <row r="180" spans="1:9" s="4" customFormat="1" ht="15">
      <c r="A180" s="12" t="s">
        <v>39</v>
      </c>
      <c r="B180" s="12">
        <v>0</v>
      </c>
      <c r="C180" s="12">
        <v>0</v>
      </c>
      <c r="D180" s="12">
        <v>0</v>
      </c>
      <c r="E180" s="12">
        <f>D180</f>
        <v>0</v>
      </c>
      <c r="F180" s="12">
        <f t="shared" si="68"/>
        <v>0</v>
      </c>
      <c r="G180" s="12">
        <f t="shared" si="68"/>
        <v>0</v>
      </c>
      <c r="H180" s="12">
        <f t="shared" si="68"/>
        <v>0</v>
      </c>
      <c r="I180" s="12">
        <f t="shared" si="68"/>
        <v>0</v>
      </c>
    </row>
    <row r="181" spans="1:9" s="4" customFormat="1" ht="17.25">
      <c r="A181" s="12" t="s">
        <v>40</v>
      </c>
      <c r="B181" s="189">
        <v>0</v>
      </c>
      <c r="C181" s="189">
        <v>0</v>
      </c>
      <c r="D181" s="189">
        <v>0</v>
      </c>
      <c r="E181" s="106">
        <f>D181</f>
        <v>0</v>
      </c>
      <c r="F181" s="106">
        <f t="shared" si="68"/>
        <v>0</v>
      </c>
      <c r="G181" s="106">
        <f t="shared" si="68"/>
        <v>0</v>
      </c>
      <c r="H181" s="106">
        <f t="shared" si="68"/>
        <v>0</v>
      </c>
      <c r="I181" s="106">
        <f t="shared" si="68"/>
        <v>0</v>
      </c>
    </row>
    <row r="182" spans="1:9" s="4" customFormat="1" ht="15">
      <c r="A182" s="12" t="s">
        <v>42</v>
      </c>
      <c r="B182" s="189">
        <f t="shared" ref="B182:I182" si="69">SUM(B176:B181)</f>
        <v>0</v>
      </c>
      <c r="C182" s="189">
        <f t="shared" si="69"/>
        <v>0</v>
      </c>
      <c r="D182" s="189">
        <f>SUM(D176:D181)</f>
        <v>4456091</v>
      </c>
      <c r="E182" s="189">
        <f t="shared" si="69"/>
        <v>3480895</v>
      </c>
      <c r="F182" s="189">
        <f t="shared" si="69"/>
        <v>5780895</v>
      </c>
      <c r="G182" s="189">
        <f t="shared" si="69"/>
        <v>6069940</v>
      </c>
      <c r="H182" s="189">
        <f t="shared" si="69"/>
        <v>6373437</v>
      </c>
      <c r="I182" s="189">
        <f t="shared" si="69"/>
        <v>6500000</v>
      </c>
    </row>
    <row r="183" spans="1:9" s="4" customFormat="1" ht="15">
      <c r="A183" s="186"/>
      <c r="B183" s="189"/>
      <c r="C183" s="12"/>
      <c r="D183" s="189"/>
      <c r="E183" s="12"/>
      <c r="F183" s="12"/>
      <c r="G183" s="12"/>
      <c r="H183" s="12"/>
      <c r="I183" s="12"/>
    </row>
    <row r="184" spans="1:9" s="4" customFormat="1" ht="15">
      <c r="A184" s="190" t="s">
        <v>84</v>
      </c>
      <c r="B184" s="12"/>
      <c r="C184" s="12"/>
      <c r="D184" s="12"/>
      <c r="E184" s="12"/>
      <c r="F184" s="12"/>
      <c r="G184" s="12"/>
      <c r="H184" s="12"/>
      <c r="I184" s="12"/>
    </row>
    <row r="185" spans="1:9" s="4" customFormat="1" ht="15">
      <c r="A185" s="12" t="s">
        <v>35</v>
      </c>
      <c r="B185" s="12">
        <f t="shared" ref="B185:D185" si="70">0+0</f>
        <v>0</v>
      </c>
      <c r="C185" s="12">
        <f t="shared" si="70"/>
        <v>0</v>
      </c>
      <c r="D185" s="12">
        <f t="shared" si="70"/>
        <v>0</v>
      </c>
      <c r="E185" s="12">
        <f>ROUND((D$158*E$252),0)</f>
        <v>0</v>
      </c>
      <c r="F185" s="12">
        <v>0</v>
      </c>
      <c r="G185" s="12">
        <f t="shared" ref="G185:I185" si="71">ROUND((F$158*G$252),0)</f>
        <v>0</v>
      </c>
      <c r="H185" s="12">
        <f t="shared" si="71"/>
        <v>0</v>
      </c>
      <c r="I185" s="12">
        <f t="shared" si="71"/>
        <v>0</v>
      </c>
    </row>
    <row r="186" spans="1:9" s="4" customFormat="1" ht="15">
      <c r="A186" s="12" t="s">
        <v>36</v>
      </c>
      <c r="B186" s="12">
        <v>0</v>
      </c>
      <c r="C186" s="12">
        <v>0</v>
      </c>
      <c r="D186" s="12">
        <v>0</v>
      </c>
      <c r="E186" s="12">
        <v>0</v>
      </c>
      <c r="F186" s="12">
        <f t="shared" ref="F186:I190" si="72">E186</f>
        <v>0</v>
      </c>
      <c r="G186" s="12">
        <f t="shared" si="72"/>
        <v>0</v>
      </c>
      <c r="H186" s="12">
        <f t="shared" si="72"/>
        <v>0</v>
      </c>
      <c r="I186" s="12">
        <f t="shared" si="72"/>
        <v>0</v>
      </c>
    </row>
    <row r="187" spans="1:9" s="4" customFormat="1" ht="15">
      <c r="A187" s="12" t="s">
        <v>37</v>
      </c>
      <c r="B187" s="12">
        <v>0</v>
      </c>
      <c r="C187" s="12">
        <v>0</v>
      </c>
      <c r="D187" s="12">
        <v>0</v>
      </c>
      <c r="E187" s="12">
        <f>D187</f>
        <v>0</v>
      </c>
      <c r="F187" s="12">
        <f t="shared" si="72"/>
        <v>0</v>
      </c>
      <c r="G187" s="12">
        <f t="shared" si="72"/>
        <v>0</v>
      </c>
      <c r="H187" s="12">
        <f t="shared" si="72"/>
        <v>0</v>
      </c>
      <c r="I187" s="12">
        <f t="shared" si="72"/>
        <v>0</v>
      </c>
    </row>
    <row r="188" spans="1:9" s="4" customFormat="1" ht="15">
      <c r="A188" s="12" t="s">
        <v>38</v>
      </c>
      <c r="B188" s="12">
        <v>49200</v>
      </c>
      <c r="C188" s="12">
        <v>0</v>
      </c>
      <c r="D188" s="12">
        <v>0</v>
      </c>
      <c r="E188" s="12">
        <v>80000</v>
      </c>
      <c r="F188" s="12">
        <f t="shared" si="72"/>
        <v>80000</v>
      </c>
      <c r="G188" s="12">
        <f t="shared" si="72"/>
        <v>80000</v>
      </c>
      <c r="H188" s="12">
        <f t="shared" si="72"/>
        <v>80000</v>
      </c>
      <c r="I188" s="12">
        <f t="shared" si="72"/>
        <v>80000</v>
      </c>
    </row>
    <row r="189" spans="1:9" s="4" customFormat="1" ht="15">
      <c r="A189" s="12" t="s">
        <v>39</v>
      </c>
      <c r="B189" s="12">
        <v>0</v>
      </c>
      <c r="C189" s="12">
        <v>0</v>
      </c>
      <c r="D189" s="12">
        <v>0</v>
      </c>
      <c r="E189" s="12">
        <f>D189</f>
        <v>0</v>
      </c>
      <c r="F189" s="12">
        <f t="shared" si="72"/>
        <v>0</v>
      </c>
      <c r="G189" s="12">
        <f t="shared" si="72"/>
        <v>0</v>
      </c>
      <c r="H189" s="12">
        <f t="shared" si="72"/>
        <v>0</v>
      </c>
      <c r="I189" s="12">
        <f t="shared" si="72"/>
        <v>0</v>
      </c>
    </row>
    <row r="190" spans="1:9" s="4" customFormat="1" ht="17.25">
      <c r="A190" s="12" t="s">
        <v>40</v>
      </c>
      <c r="B190" s="189">
        <v>0</v>
      </c>
      <c r="C190" s="189">
        <v>0</v>
      </c>
      <c r="D190" s="189">
        <v>0</v>
      </c>
      <c r="E190" s="106">
        <f>D190</f>
        <v>0</v>
      </c>
      <c r="F190" s="106">
        <f t="shared" si="72"/>
        <v>0</v>
      </c>
      <c r="G190" s="106">
        <f t="shared" si="72"/>
        <v>0</v>
      </c>
      <c r="H190" s="106">
        <f t="shared" si="72"/>
        <v>0</v>
      </c>
      <c r="I190" s="106">
        <f t="shared" si="72"/>
        <v>0</v>
      </c>
    </row>
    <row r="191" spans="1:9" s="4" customFormat="1" ht="15">
      <c r="A191" s="12" t="s">
        <v>42</v>
      </c>
      <c r="B191" s="189">
        <f t="shared" ref="B191:I191" si="73">SUM(B185:B190)</f>
        <v>49200</v>
      </c>
      <c r="C191" s="189">
        <f t="shared" si="73"/>
        <v>0</v>
      </c>
      <c r="D191" s="189">
        <f>SUM(D185:D190)</f>
        <v>0</v>
      </c>
      <c r="E191" s="189">
        <f t="shared" si="73"/>
        <v>80000</v>
      </c>
      <c r="F191" s="189">
        <f t="shared" si="73"/>
        <v>80000</v>
      </c>
      <c r="G191" s="189">
        <f t="shared" si="73"/>
        <v>80000</v>
      </c>
      <c r="H191" s="189">
        <f t="shared" si="73"/>
        <v>80000</v>
      </c>
      <c r="I191" s="189">
        <f t="shared" si="73"/>
        <v>80000</v>
      </c>
    </row>
    <row r="192" spans="1:9" s="4" customFormat="1" ht="15">
      <c r="A192" s="190" t="s">
        <v>82</v>
      </c>
      <c r="B192" s="189"/>
      <c r="C192" s="12"/>
      <c r="D192" s="12"/>
      <c r="E192" s="12"/>
      <c r="F192" s="12"/>
      <c r="G192" s="12"/>
      <c r="H192" s="12"/>
      <c r="I192" s="12"/>
    </row>
    <row r="193" spans="1:9" s="4" customFormat="1" ht="15">
      <c r="A193" s="12" t="s">
        <v>35</v>
      </c>
      <c r="B193" s="12">
        <v>0</v>
      </c>
      <c r="C193" s="12">
        <v>0</v>
      </c>
      <c r="D193" s="12">
        <v>0</v>
      </c>
      <c r="E193" s="12">
        <f>ROUND((D$158*E$252),0)</f>
        <v>0</v>
      </c>
      <c r="F193" s="12">
        <v>0</v>
      </c>
      <c r="G193" s="12">
        <f t="shared" ref="G193:I193" si="74">ROUND((F$158*G$252),0)</f>
        <v>0</v>
      </c>
      <c r="H193" s="12">
        <f t="shared" si="74"/>
        <v>0</v>
      </c>
      <c r="I193" s="12">
        <f t="shared" si="74"/>
        <v>0</v>
      </c>
    </row>
    <row r="194" spans="1:9" s="4" customFormat="1" ht="15">
      <c r="A194" s="12" t="s">
        <v>36</v>
      </c>
      <c r="B194" s="12">
        <v>6319</v>
      </c>
      <c r="C194" s="12">
        <v>6764</v>
      </c>
      <c r="D194" s="12">
        <v>5518</v>
      </c>
      <c r="E194" s="12">
        <v>10000</v>
      </c>
      <c r="F194" s="12">
        <v>10000</v>
      </c>
      <c r="G194" s="12">
        <f t="shared" ref="G194:I194" si="75">F194</f>
        <v>10000</v>
      </c>
      <c r="H194" s="12">
        <f t="shared" si="75"/>
        <v>10000</v>
      </c>
      <c r="I194" s="12">
        <f t="shared" si="75"/>
        <v>10000</v>
      </c>
    </row>
    <row r="195" spans="1:9" s="4" customFormat="1" ht="15">
      <c r="A195" s="12" t="s">
        <v>37</v>
      </c>
      <c r="B195" s="12">
        <v>0</v>
      </c>
      <c r="C195" s="12">
        <v>0</v>
      </c>
      <c r="D195" s="12">
        <v>0</v>
      </c>
      <c r="E195" s="12">
        <f>D195</f>
        <v>0</v>
      </c>
      <c r="F195" s="12">
        <f t="shared" ref="F195:I198" si="76">E195</f>
        <v>0</v>
      </c>
      <c r="G195" s="12">
        <f t="shared" si="76"/>
        <v>0</v>
      </c>
      <c r="H195" s="12">
        <f t="shared" si="76"/>
        <v>0</v>
      </c>
      <c r="I195" s="12">
        <f t="shared" si="76"/>
        <v>0</v>
      </c>
    </row>
    <row r="196" spans="1:9" s="4" customFormat="1" ht="15">
      <c r="A196" s="12" t="s">
        <v>38</v>
      </c>
      <c r="B196" s="12">
        <v>0</v>
      </c>
      <c r="C196" s="12">
        <v>0</v>
      </c>
      <c r="D196" s="12">
        <v>0</v>
      </c>
      <c r="E196" s="12">
        <f>D196</f>
        <v>0</v>
      </c>
      <c r="F196" s="12">
        <f t="shared" si="76"/>
        <v>0</v>
      </c>
      <c r="G196" s="12">
        <f t="shared" si="76"/>
        <v>0</v>
      </c>
      <c r="H196" s="12">
        <f t="shared" si="76"/>
        <v>0</v>
      </c>
      <c r="I196" s="12">
        <f t="shared" si="76"/>
        <v>0</v>
      </c>
    </row>
    <row r="197" spans="1:9" s="4" customFormat="1" ht="15">
      <c r="A197" s="12" t="s">
        <v>39</v>
      </c>
      <c r="B197" s="12">
        <v>0</v>
      </c>
      <c r="C197" s="12">
        <v>0</v>
      </c>
      <c r="D197" s="12">
        <v>0</v>
      </c>
      <c r="E197" s="12">
        <f>D197</f>
        <v>0</v>
      </c>
      <c r="F197" s="12">
        <f t="shared" si="76"/>
        <v>0</v>
      </c>
      <c r="G197" s="12">
        <f t="shared" si="76"/>
        <v>0</v>
      </c>
      <c r="H197" s="12">
        <f t="shared" si="76"/>
        <v>0</v>
      </c>
      <c r="I197" s="12">
        <f t="shared" si="76"/>
        <v>0</v>
      </c>
    </row>
    <row r="198" spans="1:9" s="4" customFormat="1" ht="17.25">
      <c r="A198" s="12" t="s">
        <v>40</v>
      </c>
      <c r="B198" s="189">
        <v>0</v>
      </c>
      <c r="C198" s="189">
        <v>0</v>
      </c>
      <c r="D198" s="189">
        <v>0</v>
      </c>
      <c r="E198" s="106">
        <f>D198</f>
        <v>0</v>
      </c>
      <c r="F198" s="106">
        <f t="shared" si="76"/>
        <v>0</v>
      </c>
      <c r="G198" s="106">
        <f t="shared" si="76"/>
        <v>0</v>
      </c>
      <c r="H198" s="106">
        <f t="shared" si="76"/>
        <v>0</v>
      </c>
      <c r="I198" s="106">
        <f t="shared" si="76"/>
        <v>0</v>
      </c>
    </row>
    <row r="199" spans="1:9" s="4" customFormat="1" ht="15">
      <c r="A199" s="12" t="s">
        <v>42</v>
      </c>
      <c r="B199" s="189">
        <f t="shared" ref="B199:I199" si="77">SUM(B193:B198)</f>
        <v>6319</v>
      </c>
      <c r="C199" s="189">
        <f t="shared" si="77"/>
        <v>6764</v>
      </c>
      <c r="D199" s="189">
        <f>SUM(D193:D198)</f>
        <v>5518</v>
      </c>
      <c r="E199" s="189">
        <f t="shared" si="77"/>
        <v>10000</v>
      </c>
      <c r="F199" s="189">
        <f t="shared" si="77"/>
        <v>10000</v>
      </c>
      <c r="G199" s="189">
        <f t="shared" si="77"/>
        <v>10000</v>
      </c>
      <c r="H199" s="189">
        <f t="shared" si="77"/>
        <v>10000</v>
      </c>
      <c r="I199" s="189">
        <f t="shared" si="77"/>
        <v>10000</v>
      </c>
    </row>
    <row r="200" spans="1:9" s="4" customFormat="1" ht="15">
      <c r="A200" s="186"/>
      <c r="B200" s="12"/>
      <c r="C200" s="12"/>
      <c r="D200" s="12"/>
      <c r="E200" s="12"/>
      <c r="F200" s="12"/>
      <c r="G200" s="12"/>
      <c r="H200" s="12"/>
      <c r="I200" s="12"/>
    </row>
    <row r="201" spans="1:9" s="4" customFormat="1" ht="15">
      <c r="A201" s="190" t="s">
        <v>70</v>
      </c>
      <c r="B201" s="12"/>
      <c r="C201" s="12"/>
      <c r="D201" s="12"/>
      <c r="E201" s="12"/>
      <c r="F201" s="12"/>
      <c r="G201" s="12"/>
      <c r="H201" s="12"/>
      <c r="I201" s="12"/>
    </row>
    <row r="202" spans="1:9" s="4" customFormat="1" ht="15">
      <c r="A202" s="12" t="s">
        <v>35</v>
      </c>
      <c r="B202" s="12">
        <v>0</v>
      </c>
      <c r="C202" s="12">
        <v>0</v>
      </c>
      <c r="D202" s="12">
        <v>0</v>
      </c>
      <c r="E202" s="12">
        <f>ROUND((D$158*E$252),0)</f>
        <v>0</v>
      </c>
      <c r="F202" s="12">
        <v>0</v>
      </c>
      <c r="G202" s="12">
        <f t="shared" ref="G202:I202" si="78">ROUND((F$158*G$252),0)</f>
        <v>0</v>
      </c>
      <c r="H202" s="12">
        <f t="shared" si="78"/>
        <v>0</v>
      </c>
      <c r="I202" s="12">
        <f t="shared" si="78"/>
        <v>0</v>
      </c>
    </row>
    <row r="203" spans="1:9" s="4" customFormat="1" ht="15">
      <c r="A203" s="12" t="s">
        <v>36</v>
      </c>
      <c r="B203" s="12">
        <v>0</v>
      </c>
      <c r="C203" s="12">
        <v>0</v>
      </c>
      <c r="D203" s="12">
        <v>0</v>
      </c>
      <c r="E203" s="12">
        <f>D203</f>
        <v>0</v>
      </c>
      <c r="F203" s="12">
        <f t="shared" ref="F203:I204" si="79">E203</f>
        <v>0</v>
      </c>
      <c r="G203" s="12">
        <f t="shared" si="79"/>
        <v>0</v>
      </c>
      <c r="H203" s="12">
        <f t="shared" si="79"/>
        <v>0</v>
      </c>
      <c r="I203" s="12">
        <f t="shared" si="79"/>
        <v>0</v>
      </c>
    </row>
    <row r="204" spans="1:9" s="4" customFormat="1" ht="15">
      <c r="A204" s="12" t="s">
        <v>37</v>
      </c>
      <c r="B204" s="12">
        <v>0</v>
      </c>
      <c r="C204" s="12">
        <v>0</v>
      </c>
      <c r="D204" s="12">
        <v>0</v>
      </c>
      <c r="E204" s="12">
        <f>D204</f>
        <v>0</v>
      </c>
      <c r="F204" s="12">
        <f t="shared" si="79"/>
        <v>0</v>
      </c>
      <c r="G204" s="12">
        <f t="shared" si="79"/>
        <v>0</v>
      </c>
      <c r="H204" s="12">
        <f t="shared" si="79"/>
        <v>0</v>
      </c>
      <c r="I204" s="12">
        <f t="shared" si="79"/>
        <v>0</v>
      </c>
    </row>
    <row r="205" spans="1:9" s="4" customFormat="1" ht="15">
      <c r="A205" s="12" t="s">
        <v>38</v>
      </c>
      <c r="B205" s="4">
        <v>917927.98</v>
      </c>
      <c r="C205" s="4">
        <v>975286.97</v>
      </c>
      <c r="D205" s="4">
        <v>1742623</v>
      </c>
      <c r="E205" s="12">
        <v>1711144</v>
      </c>
      <c r="F205" s="12">
        <v>1711144</v>
      </c>
      <c r="G205" s="12">
        <v>1873701</v>
      </c>
      <c r="H205" s="12">
        <v>2044386</v>
      </c>
      <c r="I205" s="12">
        <v>2220000</v>
      </c>
    </row>
    <row r="206" spans="1:9" s="4" customFormat="1" ht="15">
      <c r="A206" s="12" t="s">
        <v>39</v>
      </c>
      <c r="B206" s="12">
        <v>0</v>
      </c>
      <c r="C206" s="12">
        <v>0</v>
      </c>
      <c r="D206" s="12">
        <v>0</v>
      </c>
      <c r="E206" s="12">
        <f>D206</f>
        <v>0</v>
      </c>
      <c r="F206" s="12">
        <f t="shared" ref="F206:I207" si="80">E206</f>
        <v>0</v>
      </c>
      <c r="G206" s="12">
        <f t="shared" si="80"/>
        <v>0</v>
      </c>
      <c r="H206" s="12">
        <f t="shared" si="80"/>
        <v>0</v>
      </c>
      <c r="I206" s="12">
        <f t="shared" si="80"/>
        <v>0</v>
      </c>
    </row>
    <row r="207" spans="1:9" s="4" customFormat="1" ht="17.25">
      <c r="A207" s="12" t="s">
        <v>40</v>
      </c>
      <c r="B207" s="189">
        <v>0</v>
      </c>
      <c r="C207" s="189">
        <v>0</v>
      </c>
      <c r="D207" s="189">
        <v>0</v>
      </c>
      <c r="E207" s="106">
        <f>D207</f>
        <v>0</v>
      </c>
      <c r="F207" s="106">
        <f t="shared" si="80"/>
        <v>0</v>
      </c>
      <c r="G207" s="106">
        <f t="shared" si="80"/>
        <v>0</v>
      </c>
      <c r="H207" s="106">
        <f t="shared" si="80"/>
        <v>0</v>
      </c>
      <c r="I207" s="106">
        <f t="shared" si="80"/>
        <v>0</v>
      </c>
    </row>
    <row r="208" spans="1:9" s="4" customFormat="1" ht="15">
      <c r="A208" s="12" t="s">
        <v>42</v>
      </c>
      <c r="B208" s="189">
        <f t="shared" ref="B208:I208" si="81">SUM(B202:B207)</f>
        <v>917927.98</v>
      </c>
      <c r="C208" s="189">
        <f t="shared" si="81"/>
        <v>975286.97</v>
      </c>
      <c r="D208" s="189">
        <f>SUM(D202:D207)</f>
        <v>1742623</v>
      </c>
      <c r="E208" s="189">
        <f t="shared" si="81"/>
        <v>1711144</v>
      </c>
      <c r="F208" s="189">
        <f t="shared" si="81"/>
        <v>1711144</v>
      </c>
      <c r="G208" s="189">
        <f t="shared" si="81"/>
        <v>1873701</v>
      </c>
      <c r="H208" s="189">
        <f t="shared" si="81"/>
        <v>2044386</v>
      </c>
      <c r="I208" s="189">
        <f t="shared" si="81"/>
        <v>2220000</v>
      </c>
    </row>
    <row r="209" spans="1:9" s="4" customFormat="1" ht="15">
      <c r="A209" s="12"/>
      <c r="B209" s="189"/>
      <c r="C209" s="189"/>
      <c r="D209" s="189"/>
      <c r="E209" s="189"/>
      <c r="F209" s="189"/>
      <c r="G209" s="189"/>
      <c r="H209" s="189"/>
      <c r="I209" s="189"/>
    </row>
    <row r="210" spans="1:9" s="4" customFormat="1" ht="15">
      <c r="A210" s="190" t="s">
        <v>83</v>
      </c>
      <c r="B210" s="12"/>
      <c r="C210" s="12"/>
      <c r="D210" s="12"/>
      <c r="E210" s="12"/>
      <c r="F210" s="12"/>
      <c r="G210" s="12"/>
      <c r="H210" s="12"/>
      <c r="I210" s="12"/>
    </row>
    <row r="211" spans="1:9" s="4" customFormat="1" ht="15">
      <c r="A211" s="12" t="s">
        <v>35</v>
      </c>
      <c r="B211" s="12">
        <v>0</v>
      </c>
      <c r="C211" s="12">
        <v>0</v>
      </c>
      <c r="D211" s="12">
        <v>0</v>
      </c>
      <c r="E211" s="12">
        <f>ROUND((D$158*E$252),0)</f>
        <v>0</v>
      </c>
      <c r="F211" s="12">
        <v>0</v>
      </c>
      <c r="G211" s="12">
        <f t="shared" ref="G211:I211" si="82">ROUND((F$158*G$252),0)</f>
        <v>0</v>
      </c>
      <c r="H211" s="12">
        <f t="shared" si="82"/>
        <v>0</v>
      </c>
      <c r="I211" s="12">
        <f t="shared" si="82"/>
        <v>0</v>
      </c>
    </row>
    <row r="212" spans="1:9" s="4" customFormat="1" ht="15">
      <c r="A212" s="12" t="s">
        <v>36</v>
      </c>
      <c r="B212" s="4">
        <v>1186515.9099999999</v>
      </c>
      <c r="C212" s="4">
        <v>1279806.92</v>
      </c>
      <c r="D212" s="4">
        <v>1471898</v>
      </c>
      <c r="E212" s="12">
        <v>1450000</v>
      </c>
      <c r="F212" s="12">
        <f t="shared" ref="F212:I216" si="83">E212</f>
        <v>1450000</v>
      </c>
      <c r="G212" s="12">
        <f t="shared" si="83"/>
        <v>1450000</v>
      </c>
      <c r="H212" s="12">
        <f t="shared" si="83"/>
        <v>1450000</v>
      </c>
      <c r="I212" s="12">
        <f t="shared" si="83"/>
        <v>1450000</v>
      </c>
    </row>
    <row r="213" spans="1:9" s="4" customFormat="1" ht="15">
      <c r="A213" s="12" t="s">
        <v>37</v>
      </c>
      <c r="B213" s="12">
        <v>0</v>
      </c>
      <c r="C213" s="12">
        <v>0</v>
      </c>
      <c r="D213" s="12">
        <v>0</v>
      </c>
      <c r="E213" s="12">
        <f>D213</f>
        <v>0</v>
      </c>
      <c r="F213" s="12">
        <f t="shared" si="83"/>
        <v>0</v>
      </c>
      <c r="G213" s="12">
        <f t="shared" si="83"/>
        <v>0</v>
      </c>
      <c r="H213" s="12">
        <f t="shared" si="83"/>
        <v>0</v>
      </c>
      <c r="I213" s="12">
        <f t="shared" si="83"/>
        <v>0</v>
      </c>
    </row>
    <row r="214" spans="1:9" s="4" customFormat="1" ht="15">
      <c r="A214" s="12" t="s">
        <v>38</v>
      </c>
      <c r="B214" s="12">
        <v>0</v>
      </c>
      <c r="C214" s="12">
        <v>0</v>
      </c>
      <c r="D214" s="12">
        <v>0</v>
      </c>
      <c r="E214" s="12">
        <f>D214</f>
        <v>0</v>
      </c>
      <c r="F214" s="12">
        <f t="shared" si="83"/>
        <v>0</v>
      </c>
      <c r="G214" s="12">
        <f t="shared" si="83"/>
        <v>0</v>
      </c>
      <c r="H214" s="12">
        <f t="shared" si="83"/>
        <v>0</v>
      </c>
      <c r="I214" s="12">
        <f t="shared" si="83"/>
        <v>0</v>
      </c>
    </row>
    <row r="215" spans="1:9" s="4" customFormat="1" ht="15">
      <c r="A215" s="12" t="s">
        <v>39</v>
      </c>
      <c r="B215" s="12">
        <v>0</v>
      </c>
      <c r="C215" s="12">
        <v>0</v>
      </c>
      <c r="D215" s="12">
        <v>0</v>
      </c>
      <c r="E215" s="12">
        <f>D215</f>
        <v>0</v>
      </c>
      <c r="F215" s="12">
        <f t="shared" si="83"/>
        <v>0</v>
      </c>
      <c r="G215" s="12">
        <f t="shared" si="83"/>
        <v>0</v>
      </c>
      <c r="H215" s="12">
        <f t="shared" si="83"/>
        <v>0</v>
      </c>
      <c r="I215" s="12">
        <f t="shared" si="83"/>
        <v>0</v>
      </c>
    </row>
    <row r="216" spans="1:9" s="4" customFormat="1" ht="17.25">
      <c r="A216" s="12" t="s">
        <v>40</v>
      </c>
      <c r="B216" s="189">
        <v>0</v>
      </c>
      <c r="C216" s="189">
        <v>0</v>
      </c>
      <c r="D216" s="189">
        <v>0</v>
      </c>
      <c r="E216" s="106">
        <f>D216</f>
        <v>0</v>
      </c>
      <c r="F216" s="106">
        <f t="shared" si="83"/>
        <v>0</v>
      </c>
      <c r="G216" s="106">
        <f t="shared" si="83"/>
        <v>0</v>
      </c>
      <c r="H216" s="106">
        <f t="shared" si="83"/>
        <v>0</v>
      </c>
      <c r="I216" s="106">
        <f t="shared" si="83"/>
        <v>0</v>
      </c>
    </row>
    <row r="217" spans="1:9" s="4" customFormat="1" ht="15">
      <c r="A217" s="12" t="s">
        <v>42</v>
      </c>
      <c r="B217" s="189">
        <f t="shared" ref="B217:I217" si="84">SUM(B211:B216)</f>
        <v>1186515.9099999999</v>
      </c>
      <c r="C217" s="189">
        <f t="shared" si="84"/>
        <v>1279806.92</v>
      </c>
      <c r="D217" s="189">
        <f>SUM(D211:D216)</f>
        <v>1471898</v>
      </c>
      <c r="E217" s="189">
        <f t="shared" si="84"/>
        <v>1450000</v>
      </c>
      <c r="F217" s="189">
        <f t="shared" si="84"/>
        <v>1450000</v>
      </c>
      <c r="G217" s="189">
        <f t="shared" si="84"/>
        <v>1450000</v>
      </c>
      <c r="H217" s="189">
        <f t="shared" si="84"/>
        <v>1450000</v>
      </c>
      <c r="I217" s="189">
        <f t="shared" si="84"/>
        <v>1450000</v>
      </c>
    </row>
    <row r="218" spans="1:9" s="4" customFormat="1" ht="15">
      <c r="A218" s="12"/>
      <c r="B218" s="189"/>
      <c r="C218" s="189"/>
      <c r="D218" s="189"/>
      <c r="E218" s="189"/>
      <c r="F218" s="189"/>
      <c r="G218" s="189"/>
      <c r="H218" s="189"/>
      <c r="I218" s="189"/>
    </row>
    <row r="219" spans="1:9" s="4" customFormat="1" ht="17.25">
      <c r="A219" s="186" t="s">
        <v>23</v>
      </c>
      <c r="B219" s="106">
        <f t="shared" ref="B219:I219" si="85">B23+B32+B41+B50+B59+B67+B76+B85+B94+B103+B111+B120+B129+B138+B147+B155+B164+B173+B182+B191+B199+B208+B217</f>
        <v>186203437.70000008</v>
      </c>
      <c r="C219" s="106">
        <f>C23+C32+C41+C50+C59+C67+C76+C85+C94+C103+C111+C120+C129+C138+C147+C155+C164+C173+C182+C191+C199+C208+C217+1</f>
        <v>196505737.3000001</v>
      </c>
      <c r="D219" s="106">
        <f t="shared" ref="D219" si="86">D23+D32+D41+D50+D59+D67+D76+D85+D94+D103+D111+D120+D129+D138+D147+D155+D164+D173+D182+D191+D199+D208+D217</f>
        <v>219088881</v>
      </c>
      <c r="E219" s="106">
        <f>E23+E32+E41+E50+E59+E67+E76+E85+E94+E103+E111+E120+E129+E138+E147+E155+E164+E173+E182+E191+E199+E208+E217-1</f>
        <v>242480565</v>
      </c>
      <c r="F219" s="106">
        <f t="shared" si="85"/>
        <v>254028363</v>
      </c>
      <c r="G219" s="106">
        <f t="shared" si="85"/>
        <v>239239794</v>
      </c>
      <c r="H219" s="106">
        <f t="shared" si="85"/>
        <v>249591083</v>
      </c>
      <c r="I219" s="106">
        <f t="shared" si="85"/>
        <v>258699816.65499997</v>
      </c>
    </row>
    <row r="220" spans="1:9" s="4" customFormat="1" ht="15">
      <c r="A220" s="12"/>
      <c r="B220" s="12"/>
      <c r="C220" s="12"/>
      <c r="D220" s="12"/>
      <c r="E220" s="12"/>
      <c r="F220" s="12"/>
      <c r="G220" s="12"/>
      <c r="H220" s="12"/>
      <c r="I220" s="12"/>
    </row>
    <row r="221" spans="1:9" s="4" customFormat="1" ht="15">
      <c r="A221" s="186" t="s">
        <v>61</v>
      </c>
      <c r="B221" s="12"/>
      <c r="C221" s="12"/>
      <c r="D221" s="12"/>
      <c r="E221" s="12"/>
      <c r="F221" s="12"/>
      <c r="G221" s="12"/>
      <c r="H221" s="12"/>
      <c r="I221" s="12"/>
    </row>
    <row r="222" spans="1:9" s="4" customFormat="1" ht="15">
      <c r="A222" s="12" t="s">
        <v>35</v>
      </c>
      <c r="B222" s="12">
        <f t="shared" ref="B222:C227" si="87">B17+B26+B35+B44+B53+B61+B70+B79+B88+B97+B105+B114+B123+B132+B141+B149+B158+B167+B176+B185+B193+B202+B211</f>
        <v>146833748.11000004</v>
      </c>
      <c r="C222" s="12">
        <f t="shared" si="87"/>
        <v>155144202.63000011</v>
      </c>
      <c r="D222" s="12">
        <f>D17+D26+D35+D44+D53+D61+D70+D79+D88+D97+D105+D114+D123+D132+D141+D149+D158+D167+D176+D185+D193+D202+D211-32800</f>
        <v>167856778</v>
      </c>
      <c r="E222" s="12">
        <f t="shared" ref="D222:I227" si="88">E17+E26+E35+E44+E53+E61+E70+E79+E88+E97+E105+E114+E123+E132+E141+E149+E158+E167+E176+E185+E193+E202+E211</f>
        <v>187858400</v>
      </c>
      <c r="F222" s="12">
        <f t="shared" si="88"/>
        <v>193984727</v>
      </c>
      <c r="G222" s="12">
        <f t="shared" si="88"/>
        <v>182799264</v>
      </c>
      <c r="H222" s="12">
        <f t="shared" si="88"/>
        <v>191016983</v>
      </c>
      <c r="I222" s="12">
        <f t="shared" si="88"/>
        <v>198876056.77499998</v>
      </c>
    </row>
    <row r="223" spans="1:9" s="4" customFormat="1" ht="15">
      <c r="A223" s="12" t="s">
        <v>36</v>
      </c>
      <c r="B223" s="12">
        <f t="shared" si="87"/>
        <v>26656821.850000001</v>
      </c>
      <c r="C223" s="12">
        <f t="shared" si="87"/>
        <v>27815026.619999997</v>
      </c>
      <c r="D223" s="12">
        <f t="shared" si="88"/>
        <v>35433700</v>
      </c>
      <c r="E223" s="12">
        <f t="shared" si="88"/>
        <v>38056712</v>
      </c>
      <c r="F223" s="12">
        <f t="shared" si="88"/>
        <v>42366053</v>
      </c>
      <c r="G223" s="12">
        <f t="shared" si="88"/>
        <v>41510561</v>
      </c>
      <c r="H223" s="12">
        <f t="shared" si="88"/>
        <v>43072562</v>
      </c>
      <c r="I223" s="12">
        <f t="shared" si="88"/>
        <v>44046607.880000003</v>
      </c>
    </row>
    <row r="224" spans="1:9" s="4" customFormat="1" ht="15">
      <c r="A224" s="12" t="s">
        <v>37</v>
      </c>
      <c r="B224" s="12">
        <f t="shared" si="87"/>
        <v>7775654.0200000014</v>
      </c>
      <c r="C224" s="12">
        <f t="shared" si="87"/>
        <v>8336883.3799999999</v>
      </c>
      <c r="D224" s="12">
        <f t="shared" si="88"/>
        <v>9374410</v>
      </c>
      <c r="E224" s="12">
        <f t="shared" si="88"/>
        <v>9992490</v>
      </c>
      <c r="F224" s="12">
        <f t="shared" si="88"/>
        <v>9904020</v>
      </c>
      <c r="G224" s="12">
        <f t="shared" si="88"/>
        <v>8428823</v>
      </c>
      <c r="H224" s="12">
        <f t="shared" si="88"/>
        <v>8913462</v>
      </c>
      <c r="I224" s="12">
        <f t="shared" si="88"/>
        <v>8913462</v>
      </c>
    </row>
    <row r="225" spans="1:9" s="4" customFormat="1" ht="15">
      <c r="A225" s="12" t="s">
        <v>38</v>
      </c>
      <c r="B225" s="12">
        <f t="shared" si="87"/>
        <v>4072813.0000000005</v>
      </c>
      <c r="C225" s="12">
        <f t="shared" si="87"/>
        <v>4092560.8000000007</v>
      </c>
      <c r="D225" s="12">
        <f t="shared" si="88"/>
        <v>5263240</v>
      </c>
      <c r="E225" s="12">
        <f t="shared" si="88"/>
        <v>5874988</v>
      </c>
      <c r="F225" s="12">
        <f t="shared" si="88"/>
        <v>6923130</v>
      </c>
      <c r="G225" s="12">
        <f t="shared" si="88"/>
        <v>5630058</v>
      </c>
      <c r="H225" s="12">
        <f t="shared" si="88"/>
        <v>5700743</v>
      </c>
      <c r="I225" s="12">
        <f t="shared" si="88"/>
        <v>5976357</v>
      </c>
    </row>
    <row r="226" spans="1:9" s="4" customFormat="1" ht="15">
      <c r="A226" s="12" t="s">
        <v>39</v>
      </c>
      <c r="B226" s="12">
        <f t="shared" si="87"/>
        <v>0</v>
      </c>
      <c r="C226" s="12">
        <f t="shared" si="87"/>
        <v>0</v>
      </c>
      <c r="D226" s="12">
        <f t="shared" si="88"/>
        <v>0</v>
      </c>
      <c r="E226" s="12">
        <f t="shared" si="88"/>
        <v>0</v>
      </c>
      <c r="F226" s="12">
        <f t="shared" si="88"/>
        <v>0</v>
      </c>
      <c r="G226" s="12">
        <f t="shared" si="88"/>
        <v>0</v>
      </c>
      <c r="H226" s="12">
        <f t="shared" si="88"/>
        <v>0</v>
      </c>
      <c r="I226" s="12">
        <f t="shared" si="88"/>
        <v>0</v>
      </c>
    </row>
    <row r="227" spans="1:9" s="4" customFormat="1" ht="17.25">
      <c r="A227" s="12" t="s">
        <v>40</v>
      </c>
      <c r="B227" s="106">
        <f t="shared" si="87"/>
        <v>864400.72</v>
      </c>
      <c r="C227" s="106">
        <f t="shared" si="87"/>
        <v>1117062.8700000001</v>
      </c>
      <c r="D227" s="106">
        <f t="shared" si="88"/>
        <v>1127950</v>
      </c>
      <c r="E227" s="106">
        <f t="shared" si="88"/>
        <v>697979</v>
      </c>
      <c r="F227" s="106">
        <f t="shared" si="88"/>
        <v>850433</v>
      </c>
      <c r="G227" s="106">
        <f t="shared" si="88"/>
        <v>871088</v>
      </c>
      <c r="H227" s="106">
        <f t="shared" si="88"/>
        <v>887333</v>
      </c>
      <c r="I227" s="106">
        <f t="shared" si="88"/>
        <v>887333</v>
      </c>
    </row>
    <row r="228" spans="1:9" s="4" customFormat="1" ht="17.25">
      <c r="A228" s="12"/>
      <c r="B228" s="106"/>
      <c r="C228" s="106"/>
      <c r="D228" s="106"/>
      <c r="E228" s="106"/>
      <c r="F228" s="106"/>
      <c r="G228" s="106"/>
      <c r="H228" s="106"/>
      <c r="I228" s="106"/>
    </row>
    <row r="229" spans="1:9" s="4" customFormat="1" ht="15">
      <c r="A229" s="186" t="s">
        <v>23</v>
      </c>
      <c r="B229" s="189">
        <f>SUM(B222:B227)</f>
        <v>186203437.70000005</v>
      </c>
      <c r="C229" s="189">
        <f>SUM(C222:C227)+1</f>
        <v>196505737.30000013</v>
      </c>
      <c r="D229" s="189">
        <f t="shared" ref="D229:I229" si="89">SUM(D222:D227)</f>
        <v>219056078</v>
      </c>
      <c r="E229" s="189">
        <f>SUM(E222:E227)</f>
        <v>242480569</v>
      </c>
      <c r="F229" s="189">
        <f t="shared" si="89"/>
        <v>254028363</v>
      </c>
      <c r="G229" s="189">
        <f t="shared" si="89"/>
        <v>239239794</v>
      </c>
      <c r="H229" s="189">
        <f>SUM(H222:H227)+1</f>
        <v>249591084</v>
      </c>
      <c r="I229" s="189">
        <f t="shared" si="89"/>
        <v>258699816.65499997</v>
      </c>
    </row>
    <row r="230" spans="1:9" s="4" customFormat="1" ht="12.75" customHeight="1">
      <c r="A230" s="186"/>
      <c r="B230" s="191"/>
      <c r="C230" s="189"/>
      <c r="E230" s="12"/>
      <c r="F230" s="12"/>
      <c r="G230" s="12"/>
      <c r="H230" s="12"/>
      <c r="I230" s="12"/>
    </row>
    <row r="231" spans="1:9" s="4" customFormat="1" ht="12.75" customHeight="1">
      <c r="A231" s="17" t="s">
        <v>24</v>
      </c>
      <c r="B231" s="12">
        <f>+B13-B229</f>
        <v>-3282998.7000000477</v>
      </c>
      <c r="C231" s="4">
        <f t="shared" ref="C231:I231" si="90">+C13-C229</f>
        <v>3954255.6999998689</v>
      </c>
      <c r="D231" s="4">
        <f t="shared" si="90"/>
        <v>4155369</v>
      </c>
      <c r="E231" s="4">
        <f t="shared" si="90"/>
        <v>-21109251</v>
      </c>
      <c r="F231" s="4">
        <f t="shared" si="90"/>
        <v>-23166846</v>
      </c>
      <c r="G231" s="4">
        <f t="shared" si="90"/>
        <v>856184</v>
      </c>
      <c r="H231" s="4">
        <f t="shared" si="90"/>
        <v>108733</v>
      </c>
      <c r="I231" s="4">
        <f t="shared" si="90"/>
        <v>0.34500002861022949</v>
      </c>
    </row>
    <row r="232" spans="1:9" s="4" customFormat="1" ht="15" customHeight="1">
      <c r="A232" s="17" t="s">
        <v>25</v>
      </c>
      <c r="B232" s="189"/>
      <c r="C232" s="189"/>
      <c r="D232" s="192"/>
    </row>
    <row r="233" spans="1:9" s="4" customFormat="1" ht="15" customHeight="1">
      <c r="A233" s="17"/>
      <c r="B233" s="189"/>
      <c r="C233" s="189"/>
    </row>
    <row r="234" spans="1:9" s="4" customFormat="1" ht="15" customHeight="1">
      <c r="A234" s="17" t="s">
        <v>26</v>
      </c>
      <c r="B234" s="12">
        <f>976+39077467</f>
        <v>39078443</v>
      </c>
      <c r="C234" s="12">
        <v>99</v>
      </c>
      <c r="D234" s="4">
        <v>290</v>
      </c>
      <c r="E234" s="4">
        <v>0</v>
      </c>
    </row>
    <row r="235" spans="1:9" s="4" customFormat="1" ht="12.75" customHeight="1">
      <c r="A235" s="17" t="s">
        <v>27</v>
      </c>
      <c r="B235" s="12">
        <v>-21408</v>
      </c>
      <c r="C235" s="12">
        <v>-20355199</v>
      </c>
      <c r="D235" s="4">
        <v>-1162362</v>
      </c>
      <c r="E235" s="4">
        <v>0</v>
      </c>
    </row>
    <row r="236" spans="1:9" s="4" customFormat="1" ht="16.5">
      <c r="A236" s="17"/>
      <c r="B236" s="189"/>
      <c r="C236" s="189"/>
      <c r="D236" s="12"/>
      <c r="E236" s="193"/>
      <c r="F236" s="193"/>
      <c r="G236" s="193"/>
      <c r="H236" s="193"/>
      <c r="I236" s="193"/>
    </row>
    <row r="237" spans="1:9" s="4" customFormat="1" ht="17.25">
      <c r="A237" s="21"/>
      <c r="B237" s="12"/>
      <c r="C237" s="12"/>
      <c r="D237" s="106"/>
      <c r="E237" s="194"/>
      <c r="F237" s="194"/>
      <c r="G237" s="194"/>
      <c r="H237" s="194"/>
      <c r="I237" s="194"/>
    </row>
    <row r="238" spans="1:9" s="4" customFormat="1" ht="17.25">
      <c r="A238" s="17" t="s">
        <v>185</v>
      </c>
      <c r="B238" s="12"/>
      <c r="C238" s="12"/>
      <c r="D238" s="106"/>
      <c r="E238" s="194"/>
      <c r="F238" s="194"/>
      <c r="G238" s="194"/>
      <c r="H238" s="194"/>
      <c r="I238" s="194"/>
    </row>
    <row r="239" spans="1:9" s="4" customFormat="1" ht="15">
      <c r="A239" s="17" t="s">
        <v>29</v>
      </c>
      <c r="B239" s="12">
        <f>SUM(B231:B237)</f>
        <v>35774036.299999952</v>
      </c>
      <c r="C239" s="12">
        <f t="shared" ref="C239:I239" si="91">SUM(C231:C237)</f>
        <v>-16400844.300000131</v>
      </c>
      <c r="D239" s="12">
        <f t="shared" si="91"/>
        <v>2993297</v>
      </c>
      <c r="E239" s="194">
        <f t="shared" si="91"/>
        <v>-21109251</v>
      </c>
      <c r="F239" s="194">
        <f t="shared" si="91"/>
        <v>-23166846</v>
      </c>
      <c r="G239" s="194">
        <f t="shared" si="91"/>
        <v>856184</v>
      </c>
      <c r="H239" s="194">
        <f t="shared" si="91"/>
        <v>108733</v>
      </c>
      <c r="I239" s="194">
        <f t="shared" si="91"/>
        <v>0.34500002861022949</v>
      </c>
    </row>
    <row r="240" spans="1:9" s="4" customFormat="1" ht="17.25">
      <c r="A240" s="17"/>
      <c r="B240" s="12"/>
      <c r="C240" s="12"/>
      <c r="D240" s="106"/>
      <c r="E240" s="194"/>
      <c r="F240" s="194"/>
      <c r="G240" s="194"/>
      <c r="H240" s="194"/>
      <c r="I240" s="194"/>
    </row>
    <row r="241" spans="1:9" s="4" customFormat="1" ht="15">
      <c r="A241" s="17" t="s">
        <v>30</v>
      </c>
      <c r="B241" s="12">
        <v>76768237</v>
      </c>
      <c r="C241" s="12">
        <f t="shared" ref="C241:I241" si="92">+B244</f>
        <v>112542273.29999995</v>
      </c>
      <c r="D241" s="12">
        <f t="shared" si="92"/>
        <v>96141428.999999821</v>
      </c>
      <c r="E241" s="194">
        <f t="shared" si="92"/>
        <v>99134725.999999821</v>
      </c>
      <c r="F241" s="194">
        <f t="shared" si="92"/>
        <v>78025474.999999821</v>
      </c>
      <c r="G241" s="194">
        <f t="shared" si="92"/>
        <v>54858628.999999821</v>
      </c>
      <c r="H241" s="194">
        <f t="shared" si="92"/>
        <v>55714812.999999821</v>
      </c>
      <c r="I241" s="194">
        <f t="shared" si="92"/>
        <v>55823545.999999821</v>
      </c>
    </row>
    <row r="242" spans="1:9" s="4" customFormat="1" ht="17.25">
      <c r="A242" s="17"/>
      <c r="B242" s="12"/>
      <c r="C242" s="12"/>
      <c r="D242" s="106"/>
      <c r="E242" s="194"/>
      <c r="F242" s="194"/>
      <c r="G242" s="194"/>
      <c r="H242" s="194"/>
      <c r="I242" s="194"/>
    </row>
    <row r="243" spans="1:9" s="4" customFormat="1" ht="15">
      <c r="A243" s="17"/>
      <c r="B243" s="12"/>
      <c r="C243" s="12"/>
      <c r="D243" s="12"/>
      <c r="E243" s="194"/>
      <c r="F243" s="194"/>
      <c r="G243" s="194"/>
      <c r="H243" s="194"/>
      <c r="I243" s="194"/>
    </row>
    <row r="244" spans="1:9" s="4" customFormat="1" ht="15">
      <c r="A244" s="16" t="s">
        <v>68</v>
      </c>
      <c r="B244" s="12">
        <f>+B241+B239</f>
        <v>112542273.29999995</v>
      </c>
      <c r="C244" s="12">
        <f t="shared" ref="C244:I244" si="93">+C241+C239</f>
        <v>96141428.999999821</v>
      </c>
      <c r="D244" s="12">
        <f t="shared" si="93"/>
        <v>99134725.999999821</v>
      </c>
      <c r="E244" s="194">
        <f t="shared" si="93"/>
        <v>78025474.999999821</v>
      </c>
      <c r="F244" s="194">
        <f t="shared" si="93"/>
        <v>54858628.999999821</v>
      </c>
      <c r="G244" s="194">
        <f t="shared" si="93"/>
        <v>55714812.999999821</v>
      </c>
      <c r="H244" s="194">
        <f t="shared" si="93"/>
        <v>55823545.999999821</v>
      </c>
      <c r="I244" s="194">
        <f t="shared" si="93"/>
        <v>55823546.34499985</v>
      </c>
    </row>
    <row r="245" spans="1:9" s="4" customFormat="1" ht="17.25">
      <c r="B245" s="12"/>
      <c r="C245" s="12"/>
      <c r="D245" s="106"/>
      <c r="E245" s="194"/>
      <c r="F245" s="194"/>
      <c r="G245" s="194"/>
      <c r="H245" s="194"/>
      <c r="I245" s="194"/>
    </row>
    <row r="246" spans="1:9" s="4" customFormat="1" ht="17.25">
      <c r="B246" s="12"/>
      <c r="C246" s="12"/>
      <c r="D246" s="106"/>
      <c r="F246" s="194"/>
      <c r="G246" s="194"/>
      <c r="H246" s="194"/>
      <c r="I246" s="194"/>
    </row>
    <row r="247" spans="1:9" s="4" customFormat="1" ht="17.25">
      <c r="B247" s="12"/>
      <c r="C247" s="12"/>
      <c r="D247" s="106"/>
      <c r="E247" s="194"/>
      <c r="F247" s="194"/>
      <c r="G247" s="194"/>
      <c r="H247" s="194"/>
      <c r="I247" s="194"/>
    </row>
    <row r="248" spans="1:9" s="4" customFormat="1" ht="17.25">
      <c r="B248" s="12"/>
      <c r="C248" s="12"/>
      <c r="D248" s="106"/>
      <c r="E248" s="194"/>
      <c r="F248" s="194"/>
      <c r="G248" s="194"/>
      <c r="H248" s="194"/>
      <c r="I248" s="194"/>
    </row>
    <row r="249" spans="1:9" s="4" customFormat="1" ht="17.25">
      <c r="B249" s="12"/>
      <c r="C249" s="12"/>
      <c r="D249" s="106"/>
      <c r="E249" s="194"/>
      <c r="F249" s="194"/>
      <c r="G249" s="194"/>
      <c r="H249" s="194"/>
      <c r="I249" s="194"/>
    </row>
    <row r="250" spans="1:9" s="4" customFormat="1" ht="17.25">
      <c r="B250" s="12"/>
      <c r="C250" s="12"/>
      <c r="D250" s="106"/>
      <c r="E250" s="194"/>
      <c r="F250" s="194"/>
      <c r="G250" s="194"/>
      <c r="H250" s="194"/>
      <c r="I250" s="194"/>
    </row>
    <row r="251" spans="1:9" s="4" customFormat="1" ht="15">
      <c r="B251" s="195"/>
      <c r="D251" s="195"/>
      <c r="E251" s="196"/>
      <c r="F251" s="196"/>
      <c r="G251" s="196"/>
      <c r="H251" s="196"/>
      <c r="I251" s="196"/>
    </row>
    <row r="252" spans="1:9" s="4" customFormat="1" ht="15">
      <c r="B252" s="195"/>
      <c r="D252" s="195"/>
      <c r="E252" s="197"/>
      <c r="F252" s="197"/>
      <c r="G252" s="197"/>
      <c r="H252" s="197"/>
      <c r="I252" s="197"/>
    </row>
    <row r="253" spans="1:9" s="4" customFormat="1" ht="15">
      <c r="B253" s="195"/>
      <c r="D253" s="195"/>
      <c r="E253" s="196"/>
      <c r="F253" s="196"/>
      <c r="G253" s="196"/>
      <c r="H253" s="196"/>
      <c r="I253" s="196"/>
    </row>
    <row r="254" spans="1:9" s="4" customFormat="1" ht="15">
      <c r="B254" s="195"/>
      <c r="D254" s="195"/>
      <c r="E254" s="196"/>
      <c r="G254" s="196"/>
      <c r="H254" s="196"/>
      <c r="I254" s="196"/>
    </row>
    <row r="255" spans="1:9" s="4" customFormat="1" ht="15">
      <c r="B255" s="195"/>
      <c r="D255" s="195"/>
      <c r="E255" s="196"/>
      <c r="G255" s="196"/>
      <c r="H255" s="196"/>
      <c r="I255" s="196"/>
    </row>
    <row r="256" spans="1:9" s="4" customFormat="1" ht="15">
      <c r="B256" s="195"/>
      <c r="D256" s="195"/>
      <c r="E256" s="196"/>
      <c r="F256" s="196"/>
      <c r="G256" s="196"/>
      <c r="H256" s="196"/>
      <c r="I256" s="196"/>
    </row>
    <row r="257" spans="2:9" s="4" customFormat="1" ht="15">
      <c r="B257" s="195"/>
      <c r="D257" s="195"/>
      <c r="E257" s="196"/>
      <c r="F257" s="196"/>
      <c r="G257" s="196"/>
      <c r="H257" s="196"/>
      <c r="I257" s="196"/>
    </row>
    <row r="258" spans="2:9" s="4" customFormat="1" ht="15">
      <c r="B258" s="195"/>
      <c r="D258" s="195"/>
      <c r="E258" s="196"/>
      <c r="F258" s="196"/>
      <c r="G258" s="196"/>
      <c r="H258" s="196"/>
      <c r="I258" s="196"/>
    </row>
    <row r="259" spans="2:9" s="4" customFormat="1" ht="15">
      <c r="B259" s="195"/>
      <c r="D259" s="195"/>
      <c r="E259" s="196"/>
      <c r="F259" s="196"/>
      <c r="G259" s="196"/>
      <c r="H259" s="196"/>
      <c r="I259" s="196"/>
    </row>
    <row r="260" spans="2:9" s="4" customFormat="1" ht="15">
      <c r="B260" s="195"/>
      <c r="D260" s="12"/>
      <c r="E260" s="196"/>
      <c r="F260" s="196"/>
      <c r="G260" s="196"/>
      <c r="H260" s="196"/>
      <c r="I260" s="196"/>
    </row>
    <row r="261" spans="2:9" s="4" customFormat="1" ht="15">
      <c r="B261" s="195"/>
      <c r="D261" s="12"/>
      <c r="E261" s="196"/>
      <c r="F261" s="196"/>
      <c r="G261" s="196"/>
      <c r="H261" s="196"/>
      <c r="I261" s="196"/>
    </row>
    <row r="262" spans="2:9" s="4" customFormat="1" ht="15">
      <c r="B262" s="195"/>
      <c r="E262" s="196"/>
      <c r="F262" s="196"/>
      <c r="G262" s="196"/>
      <c r="H262" s="196"/>
      <c r="I262" s="196"/>
    </row>
    <row r="263" spans="2:9" s="4" customFormat="1" ht="15">
      <c r="B263" s="195"/>
      <c r="D263" s="12"/>
      <c r="E263" s="196"/>
      <c r="F263" s="196"/>
      <c r="G263" s="196"/>
      <c r="H263" s="196"/>
      <c r="I263" s="196"/>
    </row>
    <row r="264" spans="2:9" s="4" customFormat="1" ht="15">
      <c r="B264" s="195"/>
      <c r="D264" s="12"/>
      <c r="E264" s="196"/>
      <c r="F264" s="196"/>
      <c r="G264" s="196"/>
      <c r="H264" s="196"/>
      <c r="I264" s="196"/>
    </row>
    <row r="265" spans="2:9" s="4" customFormat="1" ht="15">
      <c r="B265" s="195"/>
      <c r="D265" s="12"/>
      <c r="E265" s="196"/>
      <c r="F265" s="196"/>
      <c r="G265" s="196"/>
      <c r="H265" s="196"/>
      <c r="I265" s="196"/>
    </row>
    <row r="266" spans="2:9" s="4" customFormat="1" ht="15">
      <c r="B266" s="195"/>
      <c r="D266" s="12"/>
      <c r="E266" s="196"/>
      <c r="F266" s="196"/>
      <c r="G266" s="196"/>
      <c r="H266" s="196"/>
      <c r="I266" s="196"/>
    </row>
    <row r="267" spans="2:9" s="4" customFormat="1" ht="15">
      <c r="B267" s="195"/>
      <c r="D267" s="12"/>
      <c r="E267" s="196"/>
      <c r="F267" s="196"/>
      <c r="G267" s="196"/>
      <c r="H267" s="196"/>
      <c r="I267" s="196"/>
    </row>
    <row r="268" spans="2:9" s="4" customFormat="1" ht="17.25">
      <c r="B268" s="195"/>
      <c r="D268" s="12"/>
      <c r="E268" s="198"/>
      <c r="F268" s="198"/>
      <c r="G268" s="198"/>
      <c r="H268" s="198"/>
      <c r="I268" s="198"/>
    </row>
    <row r="269" spans="2:9" s="4" customFormat="1" ht="15">
      <c r="D269" s="12"/>
      <c r="E269" s="196"/>
      <c r="F269" s="196"/>
      <c r="G269" s="196"/>
      <c r="H269" s="196"/>
      <c r="I269" s="196"/>
    </row>
    <row r="270" spans="2:9" s="4" customFormat="1" ht="15">
      <c r="B270" s="12"/>
      <c r="D270" s="12"/>
      <c r="E270" s="194"/>
      <c r="F270" s="194"/>
      <c r="G270" s="194"/>
      <c r="H270" s="194"/>
      <c r="I270" s="194"/>
    </row>
    <row r="271" spans="2:9" s="4" customFormat="1" ht="15">
      <c r="B271" s="195"/>
      <c r="D271" s="12"/>
      <c r="E271" s="196"/>
      <c r="F271" s="196"/>
      <c r="G271" s="196"/>
      <c r="H271" s="196"/>
      <c r="I271" s="196"/>
    </row>
    <row r="272" spans="2:9" s="4" customFormat="1" ht="15">
      <c r="B272" s="195"/>
      <c r="D272" s="12"/>
      <c r="E272" s="196"/>
      <c r="F272" s="196"/>
      <c r="G272" s="196"/>
      <c r="H272" s="196"/>
      <c r="I272" s="196"/>
    </row>
    <row r="273" spans="1:9" s="4" customFormat="1" ht="15">
      <c r="B273" s="195"/>
      <c r="D273" s="12"/>
      <c r="E273" s="196"/>
      <c r="F273" s="196"/>
      <c r="G273" s="196"/>
      <c r="H273" s="196"/>
      <c r="I273" s="196"/>
    </row>
    <row r="274" spans="1:9" s="4" customFormat="1" ht="17.25">
      <c r="B274" s="195"/>
      <c r="D274" s="12"/>
      <c r="E274" s="198"/>
      <c r="F274" s="198"/>
      <c r="G274" s="198"/>
      <c r="H274" s="198"/>
      <c r="I274" s="198"/>
    </row>
    <row r="275" spans="1:9" s="4" customFormat="1" ht="17.25">
      <c r="B275" s="195"/>
      <c r="D275" s="12"/>
      <c r="E275" s="57"/>
      <c r="F275" s="57"/>
      <c r="G275" s="57"/>
      <c r="H275" s="57"/>
      <c r="I275" s="57"/>
    </row>
    <row r="276" spans="1:9" s="4" customFormat="1" ht="15">
      <c r="B276" s="12"/>
      <c r="D276" s="12"/>
      <c r="E276" s="194"/>
      <c r="F276" s="194"/>
      <c r="G276" s="194"/>
      <c r="H276" s="194"/>
      <c r="I276" s="194"/>
    </row>
    <row r="277" spans="1:9" s="4" customFormat="1" ht="17.25">
      <c r="A277" s="12"/>
      <c r="B277" s="12"/>
      <c r="D277" s="195"/>
      <c r="E277" s="199"/>
      <c r="F277" s="199"/>
      <c r="G277" s="199"/>
      <c r="H277" s="199"/>
      <c r="I277" s="199"/>
    </row>
    <row r="278" spans="1:9" s="4" customFormat="1" ht="17.25">
      <c r="A278" s="12"/>
      <c r="B278" s="12"/>
      <c r="D278" s="195"/>
      <c r="E278" s="199"/>
      <c r="F278" s="199"/>
      <c r="G278" s="199"/>
      <c r="H278" s="199"/>
      <c r="I278" s="199"/>
    </row>
    <row r="279" spans="1:9" s="4" customFormat="1" ht="15">
      <c r="A279" s="12"/>
      <c r="B279" s="12"/>
      <c r="D279" s="195"/>
    </row>
    <row r="280" spans="1:9" s="4" customFormat="1" ht="15">
      <c r="A280" s="12"/>
      <c r="B280" s="12"/>
      <c r="D280" s="195"/>
      <c r="E280" s="200"/>
      <c r="F280" s="200"/>
      <c r="G280" s="200"/>
      <c r="H280" s="200"/>
      <c r="I280" s="200"/>
    </row>
    <row r="281" spans="1:9" s="4" customFormat="1" ht="17.25">
      <c r="A281" s="12"/>
      <c r="B281" s="12"/>
      <c r="D281" s="12"/>
      <c r="E281" s="57"/>
      <c r="F281" s="57"/>
      <c r="G281" s="57"/>
      <c r="H281" s="57"/>
      <c r="I281" s="57"/>
    </row>
    <row r="282" spans="1:9" s="4" customFormat="1" ht="17.25">
      <c r="B282" s="12"/>
      <c r="D282" s="195"/>
      <c r="E282" s="199"/>
      <c r="F282" s="199"/>
      <c r="G282" s="199"/>
      <c r="H282" s="199"/>
      <c r="I282" s="199"/>
    </row>
    <row r="283" spans="1:9" s="4" customFormat="1" ht="12.75" customHeight="1">
      <c r="A283" s="12"/>
      <c r="B283" s="12"/>
      <c r="D283" s="201"/>
    </row>
    <row r="284" spans="1:9" s="4" customFormat="1" ht="17.25">
      <c r="A284" s="12"/>
      <c r="B284" s="12"/>
      <c r="D284" s="12"/>
      <c r="E284" s="199"/>
    </row>
    <row r="285" spans="1:9" s="4" customFormat="1" ht="12.75" customHeight="1">
      <c r="A285" s="12"/>
      <c r="B285" s="12"/>
    </row>
    <row r="286" spans="1:9" s="4" customFormat="1" ht="12.75" customHeight="1">
      <c r="A286" s="12"/>
      <c r="B286" s="12"/>
    </row>
    <row r="287" spans="1:9" s="4" customFormat="1" ht="12.75" customHeight="1">
      <c r="A287" s="12"/>
      <c r="B287" s="12"/>
    </row>
    <row r="288" spans="1:9" s="4" customFormat="1" ht="12.75" customHeight="1">
      <c r="A288" s="12"/>
      <c r="B288" s="12"/>
    </row>
    <row r="289" spans="1:2" s="4" customFormat="1" ht="12.75" customHeight="1">
      <c r="A289" s="12"/>
      <c r="B289" s="12"/>
    </row>
    <row r="290" spans="1:2" s="4" customFormat="1" ht="12.75" customHeight="1">
      <c r="A290" s="12"/>
      <c r="B290" s="12"/>
    </row>
    <row r="291" spans="1:2" s="4" customFormat="1" ht="12.75" customHeight="1">
      <c r="A291" s="12"/>
      <c r="B291" s="12"/>
    </row>
    <row r="292" spans="1:2" s="4" customFormat="1" ht="12.75" customHeight="1">
      <c r="A292" s="12"/>
      <c r="B292" s="12"/>
    </row>
    <row r="293" spans="1:2" s="4" customFormat="1" ht="12.75" customHeight="1">
      <c r="A293" s="12"/>
      <c r="B293" s="12"/>
    </row>
    <row r="294" spans="1:2" s="4" customFormat="1" ht="12.75" customHeight="1">
      <c r="A294" s="12"/>
      <c r="B294" s="12"/>
    </row>
    <row r="295" spans="1:2" s="4" customFormat="1" ht="12.75" customHeight="1">
      <c r="A295" s="12"/>
      <c r="B295" s="12"/>
    </row>
    <row r="296" spans="1:2" s="4" customFormat="1" ht="12.75" customHeight="1">
      <c r="A296" s="12"/>
      <c r="B296" s="12"/>
    </row>
    <row r="297" spans="1:2" s="4" customFormat="1" ht="12.75" customHeight="1">
      <c r="A297" s="12"/>
      <c r="B297" s="12"/>
    </row>
    <row r="298" spans="1:2" s="4" customFormat="1" ht="12.75" customHeight="1">
      <c r="A298" s="12"/>
      <c r="B298" s="12"/>
    </row>
    <row r="299" spans="1:2" s="4" customFormat="1" ht="15"/>
    <row r="300" spans="1:2" s="4" customFormat="1" ht="15"/>
    <row r="301" spans="1:2" s="4" customFormat="1" ht="15"/>
    <row r="302" spans="1:2" s="4" customFormat="1" ht="15"/>
    <row r="303" spans="1:2" s="4" customFormat="1" ht="15"/>
    <row r="304" spans="1:2" s="4" customFormat="1" ht="15"/>
    <row r="305" s="4" customFormat="1" ht="15"/>
    <row r="306" s="4" customFormat="1" ht="15"/>
    <row r="307" s="4" customFormat="1" ht="15"/>
    <row r="308" s="4" customFormat="1" ht="15"/>
    <row r="309" s="4" customFormat="1" ht="15"/>
    <row r="310" s="4" customFormat="1" ht="15"/>
    <row r="311" s="4" customFormat="1" ht="15"/>
    <row r="312" s="4" customFormat="1" ht="15"/>
    <row r="313" s="4" customFormat="1" ht="15"/>
    <row r="314" s="4" customFormat="1" ht="15"/>
    <row r="315" s="4" customFormat="1" ht="15"/>
    <row r="316" s="4" customFormat="1" ht="15"/>
    <row r="317" s="4" customFormat="1" ht="15"/>
    <row r="318" s="4" customFormat="1" ht="15"/>
    <row r="319" s="4" customFormat="1" ht="15"/>
    <row r="320" s="4" customFormat="1" ht="15"/>
    <row r="321" s="4" customFormat="1" ht="15"/>
    <row r="322" s="4" customFormat="1" ht="15"/>
    <row r="323" s="4" customFormat="1" ht="15"/>
    <row r="324" s="4" customFormat="1" ht="15"/>
    <row r="325" s="4" customFormat="1" ht="15"/>
    <row r="326" s="4" customFormat="1" ht="15"/>
    <row r="327" s="4" customFormat="1" ht="15"/>
    <row r="328" s="4" customFormat="1" ht="15"/>
    <row r="329" s="4" customFormat="1" ht="15"/>
    <row r="330" s="4" customFormat="1" ht="15"/>
    <row r="331" s="4" customFormat="1" ht="15"/>
    <row r="332" s="4" customFormat="1" ht="15"/>
    <row r="333" s="4" customFormat="1" ht="15"/>
    <row r="334" s="4" customFormat="1" ht="15"/>
    <row r="335" s="4" customFormat="1" ht="15"/>
    <row r="336" s="4" customFormat="1" ht="15"/>
    <row r="337" s="4" customFormat="1" ht="15"/>
    <row r="338" s="4" customFormat="1" ht="15"/>
    <row r="339" s="4" customFormat="1" ht="15"/>
    <row r="340" s="4" customFormat="1" ht="15"/>
    <row r="341" s="4" customFormat="1" ht="15"/>
    <row r="342" s="4" customFormat="1" ht="15"/>
    <row r="343" s="4" customFormat="1" ht="15"/>
    <row r="344" s="4" customFormat="1" ht="15"/>
    <row r="345" s="4" customFormat="1" ht="15"/>
    <row r="346" s="4" customFormat="1" ht="15"/>
    <row r="347" s="4" customFormat="1" ht="15"/>
    <row r="348" s="4" customFormat="1" ht="15"/>
    <row r="349" s="4" customFormat="1" ht="15"/>
    <row r="350" s="4" customFormat="1" ht="15"/>
    <row r="351" s="4" customFormat="1" ht="15"/>
    <row r="352" s="4" customFormat="1" ht="15"/>
    <row r="353" s="4" customFormat="1" ht="15"/>
    <row r="354" s="4" customFormat="1" ht="15"/>
    <row r="355" s="4" customFormat="1" ht="15"/>
    <row r="356" s="4" customFormat="1" ht="15"/>
    <row r="357" s="4" customFormat="1" ht="15"/>
    <row r="358" s="4" customFormat="1" ht="15"/>
    <row r="359" s="4" customFormat="1" ht="15"/>
    <row r="360" s="4" customFormat="1" ht="15"/>
    <row r="361" s="4" customFormat="1" ht="15"/>
    <row r="362" s="4" customFormat="1" ht="15"/>
    <row r="363" s="4" customFormat="1" ht="15"/>
    <row r="364" s="4" customFormat="1" ht="15"/>
    <row r="365" s="4" customFormat="1" ht="15"/>
    <row r="366" s="4" customFormat="1" ht="15"/>
    <row r="367" s="4" customFormat="1" ht="15"/>
    <row r="368" s="4" customFormat="1" ht="15"/>
    <row r="369" s="4" customFormat="1" ht="15"/>
    <row r="370" s="4" customFormat="1" ht="15"/>
    <row r="371" s="4" customFormat="1" ht="15"/>
    <row r="372" s="4" customFormat="1" ht="15"/>
    <row r="373" s="4" customFormat="1" ht="15"/>
    <row r="374" s="4" customFormat="1" ht="15"/>
    <row r="375" s="4" customFormat="1" ht="15"/>
    <row r="376" s="4" customFormat="1" ht="15"/>
    <row r="377" s="4" customFormat="1" ht="15"/>
    <row r="378" s="4" customFormat="1" ht="15"/>
    <row r="379" s="4" customFormat="1" ht="15"/>
    <row r="380" s="4" customFormat="1" ht="15"/>
    <row r="381" s="4" customFormat="1" ht="15"/>
    <row r="382" s="4" customFormat="1" ht="15"/>
    <row r="383" s="4" customFormat="1" ht="15"/>
    <row r="384" s="4" customFormat="1" ht="15"/>
    <row r="385" s="4" customFormat="1" ht="15"/>
    <row r="386" s="4" customFormat="1" ht="15"/>
    <row r="387" s="4" customFormat="1" ht="15"/>
    <row r="388" s="4" customFormat="1" ht="15"/>
    <row r="389" s="4" customFormat="1" ht="15"/>
    <row r="390" s="4" customFormat="1" ht="15"/>
    <row r="391" s="4" customFormat="1" ht="15"/>
    <row r="392" s="4" customFormat="1" ht="15"/>
    <row r="393" s="4" customFormat="1" ht="15"/>
    <row r="394" s="4" customFormat="1" ht="15"/>
    <row r="395" s="4" customFormat="1" ht="15"/>
    <row r="396" s="4" customFormat="1" ht="15"/>
    <row r="397" s="4" customFormat="1" ht="15"/>
    <row r="398" s="4" customFormat="1" ht="15"/>
    <row r="399" s="4" customFormat="1" ht="15"/>
    <row r="400" s="4" customFormat="1" ht="15"/>
    <row r="401" s="4" customFormat="1" ht="15"/>
    <row r="402" s="4" customFormat="1" ht="15"/>
    <row r="403" s="4" customFormat="1" ht="15"/>
    <row r="404" s="4" customFormat="1" ht="15"/>
    <row r="405" s="4" customFormat="1" ht="15"/>
    <row r="406" s="4" customFormat="1" ht="15"/>
    <row r="407" s="4" customFormat="1" ht="15"/>
    <row r="408" s="4" customFormat="1" ht="15"/>
    <row r="409" s="4" customFormat="1" ht="15"/>
    <row r="410" s="4" customFormat="1" ht="15"/>
    <row r="411" s="4" customFormat="1" ht="15"/>
    <row r="412" s="4" customFormat="1" ht="15"/>
    <row r="413" s="4" customFormat="1" ht="15"/>
    <row r="414" s="4" customFormat="1" ht="15"/>
    <row r="415" s="4" customFormat="1" ht="15"/>
    <row r="416" s="4" customFormat="1" ht="15"/>
    <row r="417" s="4" customFormat="1" ht="15"/>
    <row r="418" s="4" customFormat="1" ht="15"/>
    <row r="419" s="4" customFormat="1" ht="15"/>
    <row r="420" s="4" customFormat="1" ht="15"/>
    <row r="421" s="4" customFormat="1" ht="15"/>
    <row r="422" s="4" customFormat="1" ht="15"/>
    <row r="423" s="4" customFormat="1" ht="15"/>
    <row r="424" s="4" customFormat="1" ht="15"/>
    <row r="425" s="4" customFormat="1" ht="15"/>
    <row r="426" s="4" customFormat="1" ht="15"/>
    <row r="427" s="4" customFormat="1" ht="15"/>
    <row r="428" s="4" customFormat="1" ht="15"/>
    <row r="429" s="4" customFormat="1" ht="15"/>
    <row r="430" s="4" customFormat="1" ht="15"/>
    <row r="431" s="4" customFormat="1" ht="15"/>
    <row r="432" s="4" customFormat="1" ht="15"/>
    <row r="433" s="4" customFormat="1" ht="15"/>
    <row r="434" s="4" customFormat="1" ht="15"/>
    <row r="435" s="4" customFormat="1" ht="15"/>
    <row r="436" s="4" customFormat="1" ht="15"/>
    <row r="437" s="4" customFormat="1" ht="15"/>
    <row r="438" s="4" customFormat="1" ht="15"/>
    <row r="439" s="4" customFormat="1" ht="15"/>
    <row r="440" s="4" customFormat="1" ht="15"/>
    <row r="441" s="4" customFormat="1" ht="15"/>
    <row r="442" s="4" customFormat="1" ht="15"/>
    <row r="443" s="4" customFormat="1" ht="15"/>
    <row r="444" s="4" customFormat="1" ht="15"/>
    <row r="445" s="4" customFormat="1" ht="15"/>
    <row r="446" s="4" customFormat="1" ht="15"/>
    <row r="447" s="4" customFormat="1" ht="15"/>
    <row r="448" s="4" customFormat="1" ht="15"/>
    <row r="449" s="4" customFormat="1" ht="15"/>
    <row r="450" s="4" customFormat="1" ht="15"/>
    <row r="451" s="4" customFormat="1" ht="15"/>
    <row r="452" s="4" customFormat="1" ht="15"/>
    <row r="453" s="4" customFormat="1" ht="15"/>
    <row r="454" s="4" customFormat="1" ht="15"/>
    <row r="455" s="4" customFormat="1" ht="15"/>
    <row r="456" s="4" customFormat="1" ht="15"/>
    <row r="457" s="4" customFormat="1" ht="15"/>
    <row r="458" s="4" customFormat="1" ht="15"/>
    <row r="459" s="4" customFormat="1" ht="15"/>
    <row r="460" s="4" customFormat="1" ht="15"/>
    <row r="461" s="4" customFormat="1" ht="15"/>
    <row r="462" s="4" customFormat="1" ht="15"/>
    <row r="463" s="4" customFormat="1" ht="15"/>
    <row r="464" s="4" customFormat="1" ht="15"/>
    <row r="465" s="4" customFormat="1" ht="15"/>
    <row r="466" s="4" customFormat="1" ht="15"/>
    <row r="467" s="4" customFormat="1" ht="15"/>
    <row r="468" s="4" customFormat="1" ht="15"/>
    <row r="469" s="4" customFormat="1" ht="15"/>
    <row r="470" s="4" customFormat="1" ht="15"/>
    <row r="471" s="4" customFormat="1" ht="15"/>
    <row r="472" s="4" customFormat="1" ht="15"/>
    <row r="473" s="4" customFormat="1" ht="15"/>
    <row r="474" s="4" customFormat="1" ht="15"/>
    <row r="475" s="4" customFormat="1" ht="15"/>
    <row r="476" s="4" customFormat="1" ht="15"/>
    <row r="477" s="4" customFormat="1" ht="15"/>
    <row r="478" s="4" customFormat="1" ht="15"/>
    <row r="479" s="4" customFormat="1" ht="15"/>
    <row r="480" s="4" customFormat="1" ht="15"/>
    <row r="481" s="4" customFormat="1" ht="15"/>
    <row r="482" s="4" customFormat="1" ht="15"/>
    <row r="483" s="4" customFormat="1" ht="15"/>
    <row r="484" s="4" customFormat="1" ht="15"/>
    <row r="485" s="4" customFormat="1" ht="15"/>
    <row r="486" s="4" customFormat="1" ht="15"/>
    <row r="487" s="4" customFormat="1" ht="15"/>
    <row r="488" s="4" customFormat="1" ht="15"/>
    <row r="489" s="4" customFormat="1" ht="15"/>
    <row r="490" s="4" customFormat="1" ht="15"/>
    <row r="491" s="4" customFormat="1" ht="15"/>
    <row r="492" s="4" customFormat="1" ht="15"/>
    <row r="493" s="4" customFormat="1" ht="15"/>
    <row r="494" s="4" customFormat="1" ht="15"/>
    <row r="495" s="4" customFormat="1" ht="15"/>
    <row r="496" s="4" customFormat="1" ht="15"/>
    <row r="497" s="4" customFormat="1" ht="15"/>
    <row r="498" s="4" customFormat="1" ht="15"/>
    <row r="499" s="4" customFormat="1" ht="15"/>
    <row r="500" s="4" customFormat="1" ht="15"/>
    <row r="501" s="4" customFormat="1" ht="15"/>
    <row r="502" s="4" customFormat="1" ht="15"/>
    <row r="503" s="4" customFormat="1" ht="15"/>
    <row r="504" s="4" customFormat="1" ht="15"/>
    <row r="505" s="4" customFormat="1" ht="15"/>
    <row r="506" s="4" customFormat="1" ht="15"/>
    <row r="507" s="4" customFormat="1" ht="15"/>
    <row r="508" s="4" customFormat="1" ht="15"/>
    <row r="509" s="4" customFormat="1" ht="15"/>
    <row r="510" s="4" customFormat="1" ht="15"/>
    <row r="511" s="4" customFormat="1" ht="15"/>
    <row r="512" s="4" customFormat="1" ht="15"/>
    <row r="513" s="4" customFormat="1" ht="15"/>
    <row r="514" s="4" customFormat="1" ht="15"/>
    <row r="515" s="4" customFormat="1" ht="15"/>
    <row r="516" s="4" customFormat="1" ht="15"/>
    <row r="517" s="4" customFormat="1" ht="15"/>
    <row r="518" s="4" customFormat="1" ht="15"/>
    <row r="519" s="4" customFormat="1" ht="15"/>
    <row r="520" s="4" customFormat="1" ht="15"/>
    <row r="521" s="4" customFormat="1" ht="15"/>
    <row r="522" s="4" customFormat="1" ht="15"/>
    <row r="523" s="4" customFormat="1" ht="15"/>
    <row r="524" s="4" customFormat="1" ht="15"/>
    <row r="525" s="4" customFormat="1" ht="15"/>
    <row r="526" s="4" customFormat="1" ht="15"/>
    <row r="527" s="4" customFormat="1" ht="15"/>
    <row r="528" s="4" customFormat="1" ht="15"/>
    <row r="529" s="4" customFormat="1" ht="15"/>
    <row r="530" s="4" customFormat="1" ht="15"/>
    <row r="531" s="4" customFormat="1" ht="15"/>
    <row r="532" s="4" customFormat="1" ht="15"/>
    <row r="533" s="4" customFormat="1" ht="15"/>
    <row r="534" s="4" customFormat="1" ht="15"/>
    <row r="535" s="4" customFormat="1" ht="15"/>
    <row r="536" s="4" customFormat="1" ht="15"/>
    <row r="537" s="4" customFormat="1" ht="15"/>
    <row r="538" s="4" customFormat="1" ht="15"/>
    <row r="539" s="4" customFormat="1" ht="15"/>
    <row r="540" s="4" customFormat="1" ht="15"/>
    <row r="541" s="4" customFormat="1" ht="15"/>
    <row r="542" s="4" customFormat="1" ht="15"/>
    <row r="543" s="4" customFormat="1" ht="15"/>
    <row r="544" s="4" customFormat="1" ht="15"/>
    <row r="545" s="4" customFormat="1" ht="15"/>
    <row r="546" s="4" customFormat="1" ht="15"/>
    <row r="547" s="4" customFormat="1" ht="15"/>
    <row r="548" s="4" customFormat="1" ht="15"/>
    <row r="549" s="4" customFormat="1" ht="15"/>
    <row r="550" s="4" customFormat="1" ht="15"/>
    <row r="551" s="4" customFormat="1" ht="15"/>
    <row r="552" s="4" customFormat="1" ht="15"/>
    <row r="553" s="4" customFormat="1" ht="15"/>
    <row r="554" s="4" customFormat="1" ht="15"/>
    <row r="555" s="4" customFormat="1" ht="15"/>
    <row r="556" s="4" customFormat="1" ht="15"/>
    <row r="557" s="4" customFormat="1" ht="15"/>
    <row r="558" s="4" customFormat="1" ht="15"/>
    <row r="559" s="4" customFormat="1" ht="15"/>
    <row r="560" s="4" customFormat="1" ht="15"/>
    <row r="561" s="4" customFormat="1" ht="15"/>
    <row r="562" s="4" customFormat="1" ht="15"/>
    <row r="563" s="4" customFormat="1" ht="15"/>
    <row r="564" s="4" customFormat="1" ht="15"/>
    <row r="565" s="4" customFormat="1" ht="15"/>
    <row r="566" s="4" customFormat="1" ht="15"/>
    <row r="567" s="4" customFormat="1" ht="15"/>
    <row r="568" s="4" customFormat="1" ht="15"/>
    <row r="569" s="4" customFormat="1" ht="15"/>
    <row r="570" s="4" customFormat="1" ht="15"/>
    <row r="571" s="4" customFormat="1" ht="15"/>
    <row r="572" s="4" customFormat="1" ht="15"/>
    <row r="573" s="4" customFormat="1" ht="15"/>
    <row r="574" s="4" customFormat="1" ht="15"/>
    <row r="575" s="4" customFormat="1" ht="15"/>
    <row r="576" s="4" customFormat="1" ht="15"/>
    <row r="577" s="4" customFormat="1" ht="15"/>
    <row r="578" s="4" customFormat="1" ht="15"/>
    <row r="579" s="4" customFormat="1" ht="15"/>
    <row r="580" s="4" customFormat="1" ht="15"/>
    <row r="581" s="4" customFormat="1" ht="15"/>
    <row r="582" s="4" customFormat="1" ht="15"/>
    <row r="583" s="4" customFormat="1" ht="15"/>
    <row r="584" s="4" customFormat="1" ht="15"/>
    <row r="585" s="4" customFormat="1" ht="15"/>
    <row r="586" s="4" customFormat="1" ht="15"/>
    <row r="587" s="4" customFormat="1" ht="15"/>
    <row r="588" s="4" customFormat="1" ht="15"/>
    <row r="589" s="4" customFormat="1" ht="15"/>
    <row r="590" s="4" customFormat="1" ht="15"/>
    <row r="591" s="4" customFormat="1" ht="15"/>
    <row r="592" s="4" customFormat="1" ht="15"/>
    <row r="593" s="4" customFormat="1" ht="15"/>
    <row r="594" s="4" customFormat="1" ht="15"/>
    <row r="595" s="4" customFormat="1" ht="15"/>
    <row r="596" s="4" customFormat="1" ht="15"/>
    <row r="597" s="4" customFormat="1" ht="15"/>
    <row r="598" s="4" customFormat="1" ht="15"/>
    <row r="599" s="4" customFormat="1" ht="15"/>
    <row r="600" s="4" customFormat="1" ht="15"/>
    <row r="601" s="4" customFormat="1" ht="15"/>
    <row r="602" s="4" customFormat="1" ht="15"/>
    <row r="603" s="4" customFormat="1" ht="15"/>
    <row r="604" s="4" customFormat="1" ht="15"/>
    <row r="605" s="4" customFormat="1" ht="15"/>
    <row r="606" s="4" customFormat="1" ht="15"/>
    <row r="607" s="4" customFormat="1" ht="15"/>
    <row r="608" s="4" customFormat="1" ht="15"/>
    <row r="609" s="4" customFormat="1" ht="15"/>
    <row r="610" s="4" customFormat="1" ht="15"/>
    <row r="611" s="4" customFormat="1" ht="15"/>
    <row r="612" s="4" customFormat="1" ht="15"/>
    <row r="613" s="4" customFormat="1" ht="15"/>
    <row r="614" s="4" customFormat="1" ht="15"/>
    <row r="615" s="4" customFormat="1" ht="15"/>
    <row r="616" s="4" customFormat="1" ht="15"/>
    <row r="617" s="4" customFormat="1" ht="15"/>
    <row r="618" s="4" customFormat="1" ht="15"/>
    <row r="619" s="4" customFormat="1" ht="15"/>
    <row r="620" s="4" customFormat="1" ht="15"/>
    <row r="621" s="4" customFormat="1" ht="15"/>
    <row r="622" s="4" customFormat="1" ht="15"/>
    <row r="623" s="4" customFormat="1" ht="15"/>
    <row r="624" s="4" customFormat="1" ht="15"/>
    <row r="625" s="4" customFormat="1" ht="15"/>
    <row r="626" s="4" customFormat="1" ht="15"/>
    <row r="627" s="4" customFormat="1" ht="15"/>
    <row r="628" s="4" customFormat="1" ht="15"/>
    <row r="629" s="4" customFormat="1" ht="15"/>
    <row r="630" s="4" customFormat="1" ht="15"/>
    <row r="631" s="4" customFormat="1" ht="15"/>
    <row r="632" s="4" customFormat="1" ht="15"/>
    <row r="633" s="4" customFormat="1" ht="15"/>
    <row r="634" s="4" customFormat="1" ht="15"/>
    <row r="635" s="4" customFormat="1" ht="15"/>
    <row r="636" s="4" customFormat="1" ht="15"/>
    <row r="637" s="4" customFormat="1" ht="15"/>
    <row r="638" s="4" customFormat="1" ht="15"/>
    <row r="639" s="4" customFormat="1" ht="15"/>
    <row r="640" s="4" customFormat="1" ht="15"/>
    <row r="641" s="4" customFormat="1" ht="15"/>
    <row r="642" s="4" customFormat="1" ht="15"/>
    <row r="643" s="4" customFormat="1" ht="15"/>
    <row r="644" s="4" customFormat="1" ht="15"/>
    <row r="645" s="4" customFormat="1" ht="15"/>
    <row r="646" s="4" customFormat="1" ht="15"/>
    <row r="647" s="4" customFormat="1" ht="15"/>
    <row r="648" s="4" customFormat="1" ht="15"/>
    <row r="649" s="4" customFormat="1" ht="15"/>
    <row r="650" s="4" customFormat="1" ht="15"/>
    <row r="651" s="4" customFormat="1" ht="15"/>
    <row r="652" s="4" customFormat="1" ht="15"/>
    <row r="653" s="4" customFormat="1" ht="15"/>
    <row r="654" s="4" customFormat="1" ht="15"/>
    <row r="655" s="4" customFormat="1" ht="15"/>
    <row r="656" s="4" customFormat="1" ht="15"/>
    <row r="657" s="4" customFormat="1" ht="15"/>
    <row r="658" s="4" customFormat="1" ht="15"/>
    <row r="659" s="4" customFormat="1" ht="15"/>
    <row r="660" s="4" customFormat="1" ht="15"/>
    <row r="661" s="4" customFormat="1" ht="15"/>
    <row r="662" s="4" customFormat="1" ht="15"/>
    <row r="663" s="4" customFormat="1" ht="15"/>
    <row r="664" s="4" customFormat="1" ht="15"/>
    <row r="665" s="4" customFormat="1" ht="15"/>
    <row r="666" s="4" customFormat="1" ht="15"/>
    <row r="667" s="4" customFormat="1" ht="15"/>
    <row r="668" s="4" customFormat="1" ht="15"/>
    <row r="669" s="4" customFormat="1" ht="15"/>
    <row r="670" s="4" customFormat="1" ht="15"/>
    <row r="671" s="4" customFormat="1" ht="15"/>
    <row r="672" s="4" customFormat="1" ht="15"/>
    <row r="673" s="4" customFormat="1" ht="15"/>
    <row r="674" s="4" customFormat="1" ht="15"/>
    <row r="675" s="4" customFormat="1" ht="15"/>
    <row r="676" s="4" customFormat="1" ht="15"/>
    <row r="677" s="4" customFormat="1" ht="15"/>
    <row r="678" s="4" customFormat="1" ht="15"/>
    <row r="679" s="4" customFormat="1" ht="15"/>
    <row r="680" s="4" customFormat="1" ht="15"/>
    <row r="681" s="4" customFormat="1" ht="15"/>
    <row r="682" s="4" customFormat="1" ht="15"/>
    <row r="683" s="4" customFormat="1" ht="15"/>
    <row r="684" s="4" customFormat="1" ht="15"/>
    <row r="685" s="4" customFormat="1" ht="15"/>
    <row r="686" s="4" customFormat="1" ht="15"/>
    <row r="687" s="4" customFormat="1" ht="15"/>
    <row r="688" s="4" customFormat="1" ht="15"/>
    <row r="689" s="4" customFormat="1" ht="15"/>
    <row r="690" s="4" customFormat="1" ht="15"/>
    <row r="691" s="4" customFormat="1" ht="15"/>
    <row r="692" s="4" customFormat="1" ht="15"/>
    <row r="693" s="4" customFormat="1" ht="15"/>
    <row r="694" s="4" customFormat="1" ht="15"/>
    <row r="695" s="4" customFormat="1" ht="15"/>
    <row r="696" s="4" customFormat="1" ht="15"/>
    <row r="697" s="4" customFormat="1" ht="15"/>
    <row r="698" s="4" customFormat="1" ht="15"/>
    <row r="699" s="4" customFormat="1" ht="15"/>
    <row r="700" s="4" customFormat="1" ht="15"/>
    <row r="701" s="4" customFormat="1" ht="15"/>
    <row r="702" s="4" customFormat="1" ht="15"/>
    <row r="703" s="4" customFormat="1" ht="15"/>
    <row r="704" s="4" customFormat="1" ht="15"/>
    <row r="705" s="4" customFormat="1" ht="15"/>
    <row r="706" s="4" customFormat="1" ht="15"/>
    <row r="707" s="4" customFormat="1" ht="15"/>
    <row r="708" s="4" customFormat="1" ht="15"/>
    <row r="709" s="4" customFormat="1" ht="15"/>
    <row r="710" s="4" customFormat="1" ht="15"/>
    <row r="711" s="4" customFormat="1" ht="15"/>
    <row r="712" s="4" customFormat="1" ht="15"/>
    <row r="713" s="4" customFormat="1" ht="15"/>
    <row r="714" s="4" customFormat="1" ht="15"/>
    <row r="715" s="4" customFormat="1" ht="15"/>
    <row r="716" s="4" customFormat="1" ht="15"/>
    <row r="717" s="4" customFormat="1" ht="15"/>
    <row r="718" s="4" customFormat="1" ht="15"/>
    <row r="719" s="4" customFormat="1" ht="15"/>
    <row r="720" s="4" customFormat="1" ht="15"/>
    <row r="721" s="4" customFormat="1" ht="15"/>
    <row r="722" s="4" customFormat="1" ht="15"/>
    <row r="723" s="4" customFormat="1" ht="15"/>
    <row r="724" s="4" customFormat="1" ht="15"/>
    <row r="725" s="4" customFormat="1" ht="15"/>
    <row r="726" s="4" customFormat="1" ht="15"/>
    <row r="727" s="4" customFormat="1" ht="15"/>
    <row r="728" s="4" customFormat="1" ht="15"/>
    <row r="729" s="4" customFormat="1" ht="15"/>
    <row r="730" s="4" customFormat="1" ht="15"/>
    <row r="731" s="4" customFormat="1" ht="15"/>
    <row r="732" s="4" customFormat="1" ht="15"/>
    <row r="733" s="4" customFormat="1" ht="15"/>
    <row r="734" s="4" customFormat="1" ht="15"/>
    <row r="735" s="4" customFormat="1" ht="15"/>
    <row r="736" s="4" customFormat="1" ht="15"/>
    <row r="737" s="4" customFormat="1" ht="15"/>
    <row r="738" s="4" customFormat="1" ht="15"/>
    <row r="739" s="4" customFormat="1" ht="15"/>
    <row r="740" s="4" customFormat="1" ht="15"/>
    <row r="741" s="4" customFormat="1" ht="15"/>
    <row r="742" s="4" customFormat="1" ht="15"/>
    <row r="743" s="4" customFormat="1" ht="15"/>
    <row r="744" s="4" customFormat="1" ht="15"/>
    <row r="745" s="4" customFormat="1" ht="15"/>
    <row r="746" s="4" customFormat="1" ht="15"/>
    <row r="747" s="4" customFormat="1" ht="15"/>
    <row r="748" s="4" customFormat="1" ht="15"/>
    <row r="749" s="4" customFormat="1" ht="15"/>
    <row r="750" s="4" customFormat="1" ht="15"/>
    <row r="751" s="4" customFormat="1" ht="15"/>
    <row r="752" s="4" customFormat="1" ht="15"/>
    <row r="753" s="4" customFormat="1" ht="15"/>
    <row r="754" s="4" customFormat="1" ht="15"/>
    <row r="755" s="4" customFormat="1" ht="15"/>
    <row r="756" s="4" customFormat="1" ht="15"/>
    <row r="757" s="4" customFormat="1" ht="15"/>
    <row r="758" s="4" customFormat="1" ht="15"/>
    <row r="759" s="4" customFormat="1" ht="15"/>
    <row r="760" s="4" customFormat="1" ht="15"/>
    <row r="761" s="4" customFormat="1" ht="15"/>
    <row r="762" s="4" customFormat="1" ht="15"/>
    <row r="763" s="4" customFormat="1" ht="15"/>
    <row r="764" s="4" customFormat="1" ht="15"/>
    <row r="765" s="4" customFormat="1" ht="15"/>
    <row r="766" s="4" customFormat="1" ht="15"/>
    <row r="767" s="4" customFormat="1" ht="15"/>
    <row r="768" s="4" customFormat="1" ht="15"/>
    <row r="769" s="4" customFormat="1" ht="15"/>
    <row r="770" s="4" customFormat="1" ht="15"/>
    <row r="771" s="4" customFormat="1" ht="15"/>
    <row r="772" s="4" customFormat="1" ht="15"/>
    <row r="773" s="4" customFormat="1" ht="15"/>
    <row r="774" s="4" customFormat="1" ht="15"/>
    <row r="775" s="4" customFormat="1" ht="15"/>
    <row r="776" s="4" customFormat="1" ht="15"/>
    <row r="777" s="4" customFormat="1" ht="15"/>
    <row r="778" s="4" customFormat="1" ht="15"/>
    <row r="779" s="4" customFormat="1" ht="15"/>
    <row r="780" s="4" customFormat="1" ht="15"/>
    <row r="781" s="4" customFormat="1" ht="15"/>
    <row r="782" s="4" customFormat="1" ht="15"/>
    <row r="783" s="4" customFormat="1" ht="15"/>
    <row r="784" s="4" customFormat="1" ht="15"/>
    <row r="785" s="4" customFormat="1" ht="15"/>
    <row r="786" s="4" customFormat="1" ht="15"/>
    <row r="787" s="4" customFormat="1" ht="15"/>
    <row r="788" s="4" customFormat="1" ht="15"/>
    <row r="789" s="4" customFormat="1" ht="15"/>
    <row r="790" s="4" customFormat="1" ht="15"/>
    <row r="791" s="4" customFormat="1" ht="15"/>
    <row r="792" s="4" customFormat="1" ht="15"/>
    <row r="793" s="4" customFormat="1" ht="15"/>
    <row r="794" s="4" customFormat="1" ht="15"/>
    <row r="795" s="4" customFormat="1" ht="15"/>
    <row r="796" s="4" customFormat="1" ht="15"/>
    <row r="797" s="4" customFormat="1" ht="15"/>
    <row r="798" s="4" customFormat="1" ht="15"/>
    <row r="799" s="4" customFormat="1" ht="15"/>
    <row r="800" s="4" customFormat="1" ht="15"/>
    <row r="801" s="4" customFormat="1" ht="15"/>
    <row r="802" s="4" customFormat="1" ht="15"/>
    <row r="803" s="4" customFormat="1" ht="15"/>
    <row r="804" s="4" customFormat="1" ht="15"/>
    <row r="805" s="4" customFormat="1" ht="15"/>
    <row r="806" s="4" customFormat="1" ht="15"/>
    <row r="807" s="4" customFormat="1" ht="15"/>
    <row r="808" s="4" customFormat="1" ht="15"/>
    <row r="809" s="4" customFormat="1" ht="15"/>
    <row r="810" s="4" customFormat="1" ht="15"/>
    <row r="811" s="4" customFormat="1" ht="15"/>
    <row r="812" s="4" customFormat="1" ht="15"/>
    <row r="813" s="4" customFormat="1" ht="15"/>
    <row r="814" s="4" customFormat="1" ht="15"/>
    <row r="815" s="4" customFormat="1" ht="15"/>
    <row r="816" s="4" customFormat="1" ht="15"/>
    <row r="817" s="4" customFormat="1" ht="15"/>
    <row r="818" s="4" customFormat="1" ht="15"/>
    <row r="819" s="4" customFormat="1" ht="15"/>
    <row r="820" s="4" customFormat="1" ht="15"/>
    <row r="821" s="4" customFormat="1" ht="15"/>
    <row r="822" s="4" customFormat="1" ht="15"/>
    <row r="823" s="4" customFormat="1" ht="15"/>
    <row r="824" s="4" customFormat="1" ht="15"/>
    <row r="825" s="4" customFormat="1" ht="15"/>
    <row r="826" s="4" customFormat="1" ht="15"/>
    <row r="827" s="4" customFormat="1" ht="15"/>
    <row r="828" s="4" customFormat="1" ht="15"/>
    <row r="829" s="4" customFormat="1" ht="15"/>
    <row r="830" s="4" customFormat="1" ht="15"/>
    <row r="831" s="4" customFormat="1" ht="15"/>
    <row r="832" s="4" customFormat="1" ht="15"/>
    <row r="833" s="4" customFormat="1" ht="15"/>
    <row r="834" s="4" customFormat="1" ht="15"/>
    <row r="835" s="4" customFormat="1" ht="15"/>
    <row r="836" s="4" customFormat="1" ht="15"/>
    <row r="837" s="4" customFormat="1" ht="15"/>
    <row r="838" s="4" customFormat="1" ht="15"/>
    <row r="839" s="4" customFormat="1" ht="15"/>
    <row r="840" s="4" customFormat="1" ht="15"/>
    <row r="841" s="4" customFormat="1" ht="15"/>
    <row r="842" s="4" customFormat="1" ht="15"/>
    <row r="843" s="4" customFormat="1" ht="15"/>
    <row r="844" s="4" customFormat="1" ht="15"/>
    <row r="845" s="4" customFormat="1" ht="15"/>
    <row r="846" s="4" customFormat="1" ht="15"/>
    <row r="847" s="4" customFormat="1" ht="15"/>
    <row r="848" s="4" customFormat="1" ht="15"/>
    <row r="849" s="4" customFormat="1" ht="15"/>
    <row r="850" s="4" customFormat="1" ht="15"/>
    <row r="851" s="4" customFormat="1" ht="15"/>
    <row r="852" s="4" customFormat="1" ht="15"/>
    <row r="853" s="4" customFormat="1" ht="15"/>
    <row r="854" s="4" customFormat="1" ht="15"/>
    <row r="855" s="4" customFormat="1" ht="15"/>
    <row r="856" s="4" customFormat="1" ht="15"/>
    <row r="857" s="4" customFormat="1" ht="15"/>
    <row r="858" s="4" customFormat="1" ht="15"/>
    <row r="859" s="4" customFormat="1" ht="15"/>
    <row r="860" s="4" customFormat="1" ht="15"/>
    <row r="861" s="4" customFormat="1" ht="15"/>
    <row r="862" s="4" customFormat="1" ht="15"/>
    <row r="863" s="4" customFormat="1" ht="15"/>
    <row r="864" s="4" customFormat="1" ht="15"/>
    <row r="865" s="4" customFormat="1" ht="15"/>
    <row r="866" s="4" customFormat="1" ht="15"/>
    <row r="867" s="4" customFormat="1" ht="15"/>
    <row r="868" s="4" customFormat="1" ht="15"/>
    <row r="869" s="4" customFormat="1" ht="15"/>
    <row r="870" s="4" customFormat="1" ht="15"/>
    <row r="871" s="4" customFormat="1" ht="15"/>
    <row r="872" s="4" customFormat="1" ht="15"/>
    <row r="873" s="4" customFormat="1" ht="15"/>
    <row r="874" s="4" customFormat="1" ht="15"/>
    <row r="875" s="4" customFormat="1" ht="15"/>
    <row r="876" s="4" customFormat="1" ht="15"/>
    <row r="877" s="4" customFormat="1" ht="15"/>
    <row r="878" s="4" customFormat="1" ht="15"/>
    <row r="879" s="4" customFormat="1" ht="15"/>
    <row r="880" s="4" customFormat="1" ht="15"/>
    <row r="881" s="4" customFormat="1" ht="15"/>
    <row r="882" s="4" customFormat="1" ht="15"/>
    <row r="883" s="4" customFormat="1" ht="15"/>
    <row r="884" s="4" customFormat="1" ht="15"/>
    <row r="885" s="4" customFormat="1" ht="15"/>
    <row r="886" s="4" customFormat="1" ht="15"/>
    <row r="887" s="4" customFormat="1" ht="15"/>
    <row r="888" s="4" customFormat="1" ht="15"/>
    <row r="889" s="4" customFormat="1" ht="15"/>
    <row r="890" s="4" customFormat="1" ht="15"/>
    <row r="891" s="4" customFormat="1" ht="15"/>
    <row r="892" s="4" customFormat="1" ht="15"/>
    <row r="893" s="4" customFormat="1" ht="15"/>
    <row r="894" s="4" customFormat="1" ht="15"/>
    <row r="895" s="4" customFormat="1" ht="15"/>
    <row r="896" s="4" customFormat="1" ht="15"/>
    <row r="897" s="4" customFormat="1" ht="15"/>
    <row r="898" s="4" customFormat="1" ht="15"/>
    <row r="899" s="4" customFormat="1" ht="15"/>
    <row r="900" s="4" customFormat="1" ht="15"/>
    <row r="901" s="4" customFormat="1" ht="15"/>
    <row r="902" s="4" customFormat="1" ht="15"/>
    <row r="903" s="4" customFormat="1" ht="15"/>
    <row r="904" s="4" customFormat="1" ht="15"/>
    <row r="905" s="4" customFormat="1" ht="15"/>
    <row r="906" s="4" customFormat="1" ht="15"/>
    <row r="907" s="4" customFormat="1" ht="15"/>
    <row r="908" s="4" customFormat="1" ht="15"/>
    <row r="909" s="4" customFormat="1" ht="15"/>
    <row r="910" s="4" customFormat="1" ht="15"/>
    <row r="911" s="4" customFormat="1" ht="15"/>
    <row r="912" s="4" customFormat="1" ht="15"/>
    <row r="913" s="4" customFormat="1" ht="15"/>
    <row r="914" s="4" customFormat="1" ht="15"/>
    <row r="915" s="4" customFormat="1" ht="15"/>
    <row r="916" s="4" customFormat="1" ht="15"/>
    <row r="917" s="4" customFormat="1" ht="15"/>
    <row r="918" s="4" customFormat="1" ht="15"/>
    <row r="919" s="4" customFormat="1" ht="15"/>
    <row r="920" s="4" customFormat="1" ht="15"/>
    <row r="921" s="4" customFormat="1" ht="15"/>
    <row r="922" s="4" customFormat="1" ht="15"/>
    <row r="923" s="4" customFormat="1" ht="15"/>
    <row r="924" s="4" customFormat="1" ht="15"/>
    <row r="925" s="4" customFormat="1" ht="15"/>
    <row r="926" s="4" customFormat="1" ht="15"/>
    <row r="927" s="4" customFormat="1" ht="15"/>
    <row r="928" s="4" customFormat="1" ht="15"/>
    <row r="929" s="4" customFormat="1" ht="15"/>
    <row r="930" s="4" customFormat="1" ht="15"/>
    <row r="931" s="4" customFormat="1" ht="15"/>
    <row r="932" s="4" customFormat="1" ht="15"/>
    <row r="933" s="4" customFormat="1" ht="15"/>
    <row r="934" s="4" customFormat="1" ht="15"/>
    <row r="935" s="4" customFormat="1" ht="15"/>
    <row r="936" s="4" customFormat="1" ht="15"/>
    <row r="937" s="4" customFormat="1" ht="15"/>
    <row r="938" s="4" customFormat="1" ht="15"/>
    <row r="939" s="4" customFormat="1" ht="15"/>
    <row r="940" s="4" customFormat="1" ht="15"/>
    <row r="941" s="4" customFormat="1" ht="15"/>
    <row r="942" s="4" customFormat="1" ht="15"/>
    <row r="943" s="4" customFormat="1" ht="15"/>
    <row r="944" s="4" customFormat="1" ht="15"/>
    <row r="945" s="4" customFormat="1" ht="15"/>
    <row r="946" s="4" customFormat="1" ht="15"/>
    <row r="947" s="4" customFormat="1" ht="15"/>
    <row r="948" s="4" customFormat="1" ht="15"/>
    <row r="949" s="4" customFormat="1" ht="15"/>
    <row r="950" s="4" customFormat="1" ht="15"/>
    <row r="951" s="4" customFormat="1" ht="15"/>
    <row r="952" s="4" customFormat="1" ht="15"/>
    <row r="953" s="4" customFormat="1" ht="15"/>
    <row r="954" s="4" customFormat="1" ht="15"/>
    <row r="955" s="4" customFormat="1" ht="15"/>
    <row r="956" s="4" customFormat="1" ht="15"/>
    <row r="957" s="4" customFormat="1" ht="15"/>
    <row r="958" s="4" customFormat="1" ht="15"/>
    <row r="959" s="4" customFormat="1" ht="15"/>
    <row r="960" s="4" customFormat="1" ht="15"/>
    <row r="961" s="4" customFormat="1" ht="15"/>
    <row r="962" s="4" customFormat="1" ht="15"/>
    <row r="963" s="4" customFormat="1" ht="15"/>
    <row r="964" s="4" customFormat="1" ht="15"/>
    <row r="965" s="4" customFormat="1" ht="15"/>
    <row r="966" s="4" customFormat="1" ht="15"/>
    <row r="967" s="4" customFormat="1" ht="15"/>
    <row r="968" s="4" customFormat="1" ht="15"/>
    <row r="969" s="4" customFormat="1" ht="15"/>
    <row r="970" s="4" customFormat="1" ht="15"/>
    <row r="971" s="4" customFormat="1" ht="15"/>
    <row r="972" s="4" customFormat="1" ht="15"/>
    <row r="973" s="4" customFormat="1" ht="15"/>
    <row r="974" s="4" customFormat="1" ht="15"/>
    <row r="975" s="4" customFormat="1" ht="15"/>
    <row r="976" s="4" customFormat="1" ht="15"/>
    <row r="977" s="4" customFormat="1" ht="15"/>
    <row r="978" s="4" customFormat="1" ht="15"/>
    <row r="979" s="4" customFormat="1" ht="15"/>
    <row r="980" s="4" customFormat="1" ht="15"/>
    <row r="981" s="4" customFormat="1" ht="15"/>
    <row r="982" s="4" customFormat="1" ht="15"/>
    <row r="983" s="4" customFormat="1" ht="15"/>
    <row r="984" s="4" customFormat="1" ht="15"/>
    <row r="985" s="4" customFormat="1" ht="15"/>
    <row r="986" s="4" customFormat="1" ht="15"/>
    <row r="987" s="4" customFormat="1" ht="15"/>
    <row r="988" s="4" customFormat="1" ht="15"/>
    <row r="989" s="4" customFormat="1" ht="15"/>
    <row r="990" s="4" customFormat="1" ht="15"/>
    <row r="991" s="4" customFormat="1" ht="15"/>
    <row r="992" s="4" customFormat="1" ht="15"/>
    <row r="993" s="4" customFormat="1" ht="15"/>
    <row r="994" s="4" customFormat="1" ht="15"/>
    <row r="995" s="4" customFormat="1" ht="15"/>
    <row r="996" s="4" customFormat="1" ht="15"/>
    <row r="997" s="4" customFormat="1" ht="15"/>
    <row r="998" s="4" customFormat="1" ht="15"/>
    <row r="999" s="4" customFormat="1" ht="15"/>
    <row r="1000" s="4" customFormat="1" ht="15"/>
    <row r="1001" s="4" customFormat="1" ht="15"/>
    <row r="1002" s="4" customFormat="1" ht="15"/>
    <row r="1003" s="4" customFormat="1" ht="15"/>
    <row r="1004" s="4" customFormat="1" ht="15"/>
    <row r="1005" s="4" customFormat="1" ht="15"/>
    <row r="1006" s="4" customFormat="1" ht="15"/>
    <row r="1007" s="4" customFormat="1" ht="15"/>
    <row r="1008" s="4" customFormat="1" ht="15"/>
    <row r="1009" s="4" customFormat="1" ht="15"/>
    <row r="1010" s="4" customFormat="1" ht="15"/>
    <row r="1011" s="4" customFormat="1" ht="15"/>
    <row r="1012" s="4" customFormat="1" ht="15"/>
    <row r="1013" s="4" customFormat="1" ht="15"/>
    <row r="1014" s="4" customFormat="1" ht="15"/>
    <row r="1015" s="4" customFormat="1" ht="15"/>
    <row r="1016" s="4" customFormat="1" ht="15"/>
    <row r="1017" s="4" customFormat="1" ht="15"/>
    <row r="1018" s="4" customFormat="1" ht="15"/>
    <row r="1019" s="4" customFormat="1" ht="15"/>
    <row r="1020" s="4" customFormat="1" ht="15"/>
    <row r="1021" s="4" customFormat="1" ht="15"/>
    <row r="1022" s="4" customFormat="1" ht="15"/>
  </sheetData>
  <mergeCells count="8">
    <mergeCell ref="B6:D6"/>
    <mergeCell ref="E6:F6"/>
    <mergeCell ref="G6:I6"/>
    <mergeCell ref="A1:I1"/>
    <mergeCell ref="A3:I3"/>
    <mergeCell ref="A4:I4"/>
    <mergeCell ref="A5:H5"/>
    <mergeCell ref="A2:J2"/>
  </mergeCells>
  <pageMargins left="0.7" right="0.7" top="0.75" bottom="0.75" header="0.3" footer="0.3"/>
  <pageSetup scale="62" fitToHeight="0" orientation="portrait" horizontalDpi="4294967295" verticalDpi="42949672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J212"/>
  <sheetViews>
    <sheetView workbookViewId="0">
      <selection activeCell="A2" sqref="A2:J2"/>
    </sheetView>
  </sheetViews>
  <sheetFormatPr defaultColWidth="5.7109375" defaultRowHeight="15"/>
  <cols>
    <col min="1" max="1" width="42.28515625" style="4" customWidth="1"/>
    <col min="2" max="6" width="12.28515625" style="4" customWidth="1"/>
    <col min="7" max="7" width="7.28515625" style="4" hidden="1" customWidth="1"/>
    <col min="8" max="10" width="12.28515625" style="4" customWidth="1"/>
    <col min="11" max="16384" width="5.7109375" style="4"/>
  </cols>
  <sheetData>
    <row r="1" spans="1:10" s="29" customFormat="1" ht="15.75">
      <c r="A1" s="213" t="s">
        <v>0</v>
      </c>
      <c r="B1" s="213"/>
      <c r="C1" s="213"/>
      <c r="D1" s="213"/>
      <c r="E1" s="213"/>
      <c r="F1" s="213"/>
      <c r="G1" s="213"/>
      <c r="H1" s="213"/>
      <c r="I1" s="213"/>
      <c r="J1" s="213"/>
    </row>
    <row r="2" spans="1:10" s="29" customFormat="1" ht="15.75">
      <c r="A2" s="212" t="s">
        <v>1</v>
      </c>
      <c r="B2" s="212"/>
      <c r="C2" s="212"/>
      <c r="D2" s="212"/>
      <c r="E2" s="212"/>
      <c r="F2" s="212"/>
      <c r="G2" s="212"/>
      <c r="H2" s="212"/>
      <c r="I2" s="212"/>
      <c r="J2" s="212"/>
    </row>
    <row r="3" spans="1:10" s="29" customFormat="1" ht="15.75">
      <c r="A3" s="213" t="s">
        <v>183</v>
      </c>
      <c r="B3" s="213"/>
      <c r="C3" s="213"/>
      <c r="D3" s="213"/>
      <c r="E3" s="213"/>
      <c r="F3" s="213"/>
      <c r="G3" s="213"/>
      <c r="H3" s="213"/>
      <c r="I3" s="213"/>
      <c r="J3" s="213"/>
    </row>
    <row r="4" spans="1:10" s="29" customFormat="1" ht="15.75">
      <c r="A4" s="211" t="s">
        <v>182</v>
      </c>
      <c r="B4" s="211"/>
      <c r="C4" s="211"/>
      <c r="D4" s="211"/>
      <c r="E4" s="211"/>
      <c r="F4" s="211"/>
      <c r="G4" s="211"/>
      <c r="H4" s="211"/>
      <c r="I4" s="211"/>
      <c r="J4" s="211"/>
    </row>
    <row r="5" spans="1:10" s="29" customFormat="1" ht="15.75">
      <c r="A5" s="31"/>
      <c r="B5" s="31"/>
      <c r="C5" s="31"/>
      <c r="D5" s="180"/>
      <c r="E5" s="180"/>
      <c r="F5" s="180"/>
      <c r="G5" s="31"/>
    </row>
    <row r="6" spans="1:10" s="29" customFormat="1" ht="15.75">
      <c r="A6" s="32"/>
      <c r="B6" s="181" t="s">
        <v>2</v>
      </c>
      <c r="C6" s="181" t="s">
        <v>2</v>
      </c>
      <c r="D6" s="181" t="s">
        <v>2</v>
      </c>
      <c r="E6" s="213" t="s">
        <v>176</v>
      </c>
      <c r="F6" s="213"/>
      <c r="G6" s="181" t="s">
        <v>4</v>
      </c>
      <c r="H6" s="208" t="s">
        <v>167</v>
      </c>
      <c r="I6" s="208"/>
      <c r="J6" s="208"/>
    </row>
    <row r="7" spans="1:10" s="29" customFormat="1" ht="20.25">
      <c r="A7" s="34" t="s">
        <v>5</v>
      </c>
      <c r="B7" s="34" t="s">
        <v>85</v>
      </c>
      <c r="C7" s="34" t="s">
        <v>86</v>
      </c>
      <c r="D7" s="34" t="s">
        <v>87</v>
      </c>
      <c r="E7" s="34" t="s">
        <v>88</v>
      </c>
      <c r="F7" s="34" t="s">
        <v>89</v>
      </c>
      <c r="G7" s="35" t="s">
        <v>6</v>
      </c>
      <c r="H7" s="185" t="s">
        <v>177</v>
      </c>
      <c r="I7" s="185" t="s">
        <v>178</v>
      </c>
      <c r="J7" s="185" t="s">
        <v>179</v>
      </c>
    </row>
    <row r="8" spans="1:10">
      <c r="A8" s="16" t="s">
        <v>7</v>
      </c>
      <c r="B8" s="17"/>
      <c r="C8" s="17"/>
      <c r="D8" s="17"/>
      <c r="E8" s="17"/>
      <c r="F8" s="17"/>
      <c r="G8" s="17"/>
    </row>
    <row r="9" spans="1:10">
      <c r="A9" s="17" t="s">
        <v>8</v>
      </c>
      <c r="B9" s="17">
        <v>5830896</v>
      </c>
      <c r="C9" s="17">
        <v>5934235</v>
      </c>
      <c r="D9" s="17">
        <v>6589346</v>
      </c>
      <c r="E9" s="17">
        <v>6522348</v>
      </c>
      <c r="F9" s="17">
        <v>7263901</v>
      </c>
      <c r="G9" s="18">
        <f>F9-D9</f>
        <v>674555</v>
      </c>
      <c r="H9" s="4">
        <v>7263901</v>
      </c>
      <c r="I9" s="4">
        <f>+H9*1.04</f>
        <v>7554457.04</v>
      </c>
      <c r="J9" s="4">
        <f>+I9*1.04</f>
        <v>7856635.3216000004</v>
      </c>
    </row>
    <row r="10" spans="1:10">
      <c r="A10" s="17" t="s">
        <v>9</v>
      </c>
      <c r="B10" s="6">
        <v>26791</v>
      </c>
      <c r="C10" s="6">
        <v>27585</v>
      </c>
      <c r="D10" s="6">
        <v>28301</v>
      </c>
      <c r="E10" s="6">
        <v>31356</v>
      </c>
      <c r="F10" s="6">
        <v>31356</v>
      </c>
      <c r="G10" s="6">
        <f>F10-D10</f>
        <v>3055</v>
      </c>
      <c r="H10" s="4">
        <v>31356</v>
      </c>
      <c r="I10" s="4">
        <v>31356</v>
      </c>
      <c r="J10" s="4">
        <v>31356</v>
      </c>
    </row>
    <row r="11" spans="1:10" ht="17.25">
      <c r="A11" s="17" t="s">
        <v>10</v>
      </c>
      <c r="B11" s="20">
        <v>2217746</v>
      </c>
      <c r="C11" s="20">
        <v>2202242</v>
      </c>
      <c r="D11" s="20">
        <v>2531622</v>
      </c>
      <c r="E11" s="20">
        <v>2741756</v>
      </c>
      <c r="F11" s="20">
        <v>2893044</v>
      </c>
      <c r="G11" s="19">
        <f>F11-D11</f>
        <v>361422</v>
      </c>
      <c r="H11" s="57">
        <v>2900000</v>
      </c>
      <c r="I11" s="204">
        <f>+H11*1.03</f>
        <v>2987000</v>
      </c>
      <c r="J11" s="57">
        <f>+I11*1.03</f>
        <v>3076610</v>
      </c>
    </row>
    <row r="12" spans="1:10">
      <c r="A12" s="17"/>
      <c r="B12" s="17"/>
      <c r="C12" s="17"/>
      <c r="D12" s="17"/>
      <c r="E12" s="17"/>
      <c r="F12" s="17"/>
      <c r="G12" s="17"/>
    </row>
    <row r="13" spans="1:10" ht="17.25">
      <c r="A13" s="17" t="s">
        <v>11</v>
      </c>
      <c r="B13" s="20">
        <f t="shared" ref="B13:J13" si="0">SUM(B9:B11)</f>
        <v>8075433</v>
      </c>
      <c r="C13" s="20">
        <f t="shared" si="0"/>
        <v>8164062</v>
      </c>
      <c r="D13" s="20">
        <f t="shared" si="0"/>
        <v>9149269</v>
      </c>
      <c r="E13" s="20">
        <f t="shared" si="0"/>
        <v>9295460</v>
      </c>
      <c r="F13" s="20">
        <f t="shared" si="0"/>
        <v>10188301</v>
      </c>
      <c r="G13" s="20">
        <f t="shared" si="0"/>
        <v>1039032</v>
      </c>
      <c r="H13" s="57">
        <f t="shared" si="0"/>
        <v>10195257</v>
      </c>
      <c r="I13" s="57">
        <f t="shared" si="0"/>
        <v>10572813.039999999</v>
      </c>
      <c r="J13" s="57">
        <f t="shared" si="0"/>
        <v>10964601.321600001</v>
      </c>
    </row>
    <row r="14" spans="1:10">
      <c r="A14" s="17"/>
      <c r="B14" s="42"/>
      <c r="C14" s="17"/>
      <c r="D14" s="17"/>
      <c r="E14" s="17"/>
      <c r="F14" s="17"/>
      <c r="G14" s="17"/>
    </row>
    <row r="15" spans="1:10">
      <c r="A15" s="16" t="s">
        <v>12</v>
      </c>
      <c r="B15" s="42"/>
      <c r="C15" s="17"/>
      <c r="D15" s="17"/>
      <c r="E15" s="17"/>
      <c r="F15" s="17"/>
      <c r="G15" s="17"/>
    </row>
    <row r="16" spans="1:10">
      <c r="A16" s="17" t="s">
        <v>13</v>
      </c>
      <c r="B16" s="42"/>
      <c r="C16" s="17"/>
      <c r="D16" s="17"/>
      <c r="E16" s="17"/>
      <c r="F16" s="17"/>
      <c r="G16" s="17"/>
    </row>
    <row r="17" spans="1:10">
      <c r="A17" s="17" t="s">
        <v>14</v>
      </c>
      <c r="B17" s="6"/>
      <c r="C17" s="6"/>
      <c r="D17" s="6"/>
      <c r="E17" s="6"/>
      <c r="F17" s="6"/>
      <c r="G17" s="6">
        <f t="shared" ref="G17:G25" si="1">F17-D17</f>
        <v>0</v>
      </c>
    </row>
    <row r="18" spans="1:10">
      <c r="A18" s="17" t="s">
        <v>15</v>
      </c>
      <c r="B18" s="6"/>
      <c r="C18" s="6"/>
      <c r="D18" s="6"/>
      <c r="E18" s="6"/>
      <c r="F18" s="6"/>
      <c r="G18" s="6">
        <f t="shared" si="1"/>
        <v>0</v>
      </c>
    </row>
    <row r="19" spans="1:10">
      <c r="A19" s="17" t="s">
        <v>16</v>
      </c>
      <c r="B19" s="6"/>
      <c r="C19" s="6"/>
      <c r="D19" s="6"/>
      <c r="E19" s="6"/>
      <c r="F19" s="6"/>
      <c r="G19" s="6">
        <f t="shared" si="1"/>
        <v>0</v>
      </c>
    </row>
    <row r="20" spans="1:10">
      <c r="A20" s="12" t="s">
        <v>35</v>
      </c>
      <c r="B20" s="6"/>
      <c r="C20" s="6"/>
      <c r="D20" s="6"/>
      <c r="E20" s="6"/>
      <c r="F20" s="6"/>
      <c r="G20" s="6"/>
    </row>
    <row r="21" spans="1:10">
      <c r="A21" s="12" t="s">
        <v>36</v>
      </c>
      <c r="B21" s="6">
        <v>7550405.1200000001</v>
      </c>
      <c r="C21" s="6">
        <v>7660609.6299999999</v>
      </c>
      <c r="D21" s="6">
        <v>8804442.9600000009</v>
      </c>
      <c r="E21" s="6">
        <v>8825649</v>
      </c>
      <c r="F21" s="6">
        <v>10097785</v>
      </c>
      <c r="G21" s="6"/>
      <c r="H21" s="4">
        <f>+F21*1.02</f>
        <v>10299740.699999999</v>
      </c>
      <c r="I21" s="4">
        <f>+H21*1.03</f>
        <v>10608732.921</v>
      </c>
      <c r="J21" s="4">
        <f>+I21*1.03</f>
        <v>10926994.90863</v>
      </c>
    </row>
    <row r="22" spans="1:10">
      <c r="A22" s="12" t="s">
        <v>37</v>
      </c>
      <c r="B22" s="6">
        <v>396844.79</v>
      </c>
      <c r="C22" s="6">
        <v>340247.77</v>
      </c>
      <c r="D22" s="6">
        <v>466426.61</v>
      </c>
      <c r="E22" s="6">
        <v>353766</v>
      </c>
      <c r="F22" s="6"/>
      <c r="G22" s="6"/>
    </row>
    <row r="23" spans="1:10">
      <c r="A23" s="12" t="s">
        <v>38</v>
      </c>
      <c r="B23" s="6">
        <v>103870.18</v>
      </c>
      <c r="C23" s="6">
        <v>10000</v>
      </c>
      <c r="D23" s="6">
        <v>2200</v>
      </c>
      <c r="E23" s="6"/>
      <c r="F23" s="6"/>
      <c r="G23" s="6"/>
    </row>
    <row r="24" spans="1:10">
      <c r="A24" s="12" t="s">
        <v>39</v>
      </c>
      <c r="B24" s="6"/>
      <c r="C24" s="6"/>
      <c r="D24" s="6"/>
      <c r="E24" s="6"/>
      <c r="F24" s="6"/>
      <c r="G24" s="6">
        <f t="shared" si="1"/>
        <v>0</v>
      </c>
    </row>
    <row r="25" spans="1:10">
      <c r="A25" s="12" t="s">
        <v>40</v>
      </c>
      <c r="B25" s="6">
        <v>9250</v>
      </c>
      <c r="C25" s="6">
        <v>80344.72</v>
      </c>
      <c r="D25" s="6">
        <v>14964.42</v>
      </c>
      <c r="E25" s="6">
        <v>25079</v>
      </c>
      <c r="F25" s="6"/>
      <c r="G25" s="6">
        <f t="shared" si="1"/>
        <v>-14964.42</v>
      </c>
    </row>
    <row r="26" spans="1:10">
      <c r="A26" s="17" t="s">
        <v>17</v>
      </c>
      <c r="B26" s="17"/>
      <c r="C26" s="17"/>
      <c r="D26" s="17"/>
      <c r="E26" s="17"/>
      <c r="F26" s="17"/>
      <c r="G26" s="17"/>
    </row>
    <row r="27" spans="1:10">
      <c r="A27" s="8" t="s">
        <v>54</v>
      </c>
      <c r="B27" s="17"/>
      <c r="C27" s="17"/>
      <c r="D27" s="17"/>
      <c r="E27" s="17"/>
      <c r="F27" s="17"/>
      <c r="G27" s="17">
        <f>SUM(G17:G25)</f>
        <v>-14964.42</v>
      </c>
    </row>
    <row r="28" spans="1:10" ht="17.25">
      <c r="A28" s="12" t="s">
        <v>35</v>
      </c>
      <c r="B28" s="20"/>
      <c r="C28" s="20"/>
      <c r="D28" s="20"/>
      <c r="E28" s="20"/>
      <c r="F28" s="20"/>
      <c r="G28" s="20"/>
    </row>
    <row r="29" spans="1:10" ht="17.25">
      <c r="A29" s="12" t="s">
        <v>36</v>
      </c>
      <c r="B29" s="17">
        <v>60707</v>
      </c>
      <c r="C29" s="17">
        <v>59723</v>
      </c>
      <c r="D29" s="17"/>
      <c r="E29" s="17"/>
      <c r="F29" s="17"/>
      <c r="G29" s="20"/>
    </row>
    <row r="30" spans="1:10" ht="17.25">
      <c r="A30" s="12" t="s">
        <v>37</v>
      </c>
      <c r="B30" s="20"/>
      <c r="C30" s="20"/>
      <c r="D30" s="20"/>
      <c r="E30" s="20"/>
      <c r="F30" s="20"/>
      <c r="G30" s="20"/>
    </row>
    <row r="31" spans="1:10" ht="17.25">
      <c r="A31" s="12" t="s">
        <v>38</v>
      </c>
      <c r="B31" s="20"/>
      <c r="C31" s="20"/>
      <c r="D31" s="20"/>
      <c r="E31" s="20"/>
      <c r="F31" s="20"/>
      <c r="G31" s="20"/>
    </row>
    <row r="32" spans="1:10" ht="17.25">
      <c r="A32" s="12" t="s">
        <v>39</v>
      </c>
      <c r="B32" s="20"/>
      <c r="C32" s="20"/>
      <c r="D32" s="20"/>
      <c r="E32" s="20"/>
      <c r="F32" s="20"/>
      <c r="G32" s="20"/>
    </row>
    <row r="33" spans="1:10" ht="17.25">
      <c r="A33" s="12" t="s">
        <v>40</v>
      </c>
      <c r="B33" s="20"/>
      <c r="C33" s="20"/>
      <c r="D33" s="20"/>
      <c r="E33" s="20"/>
      <c r="F33" s="20"/>
      <c r="G33" s="20"/>
    </row>
    <row r="34" spans="1:10">
      <c r="A34" s="17" t="s">
        <v>19</v>
      </c>
      <c r="B34" s="17"/>
      <c r="C34" s="17"/>
      <c r="D34" s="17"/>
      <c r="E34" s="17"/>
      <c r="F34" s="17"/>
      <c r="G34" s="17"/>
    </row>
    <row r="35" spans="1:10">
      <c r="A35" s="8" t="s">
        <v>58</v>
      </c>
      <c r="B35" s="17"/>
      <c r="C35" s="17"/>
      <c r="D35" s="17"/>
      <c r="E35" s="17"/>
      <c r="F35" s="17"/>
      <c r="G35" s="17"/>
    </row>
    <row r="36" spans="1:10">
      <c r="A36" s="17" t="s">
        <v>21</v>
      </c>
      <c r="B36" s="17"/>
      <c r="C36" s="17"/>
      <c r="D36" s="17"/>
      <c r="E36" s="17"/>
      <c r="F36" s="17"/>
      <c r="G36" s="6"/>
    </row>
    <row r="37" spans="1:10">
      <c r="A37" s="17" t="s">
        <v>22</v>
      </c>
      <c r="B37" s="17"/>
      <c r="C37" s="17"/>
      <c r="D37" s="17"/>
      <c r="E37" s="17"/>
      <c r="F37" s="17"/>
      <c r="G37" s="6"/>
    </row>
    <row r="38" spans="1:10">
      <c r="A38" s="17"/>
      <c r="B38" s="6"/>
      <c r="C38" s="6"/>
      <c r="D38" s="6"/>
      <c r="E38" s="6"/>
      <c r="F38" s="6"/>
      <c r="G38" s="6"/>
    </row>
    <row r="39" spans="1:10" ht="17.25">
      <c r="A39" s="17" t="s">
        <v>23</v>
      </c>
      <c r="B39" s="19">
        <f>SUM(B16:B37)</f>
        <v>8121077.0899999999</v>
      </c>
      <c r="C39" s="19">
        <f>SUM(C16:C37)</f>
        <v>8150925.1200000001</v>
      </c>
      <c r="D39" s="19">
        <f t="shared" ref="D39:J39" si="2">SUM(D16:D37)</f>
        <v>9288033.9900000002</v>
      </c>
      <c r="E39" s="19">
        <f t="shared" si="2"/>
        <v>9204494</v>
      </c>
      <c r="F39" s="19">
        <f t="shared" si="2"/>
        <v>10097785</v>
      </c>
      <c r="G39" s="19">
        <f>F39-D39</f>
        <v>809751.00999999978</v>
      </c>
      <c r="H39" s="57">
        <f t="shared" si="2"/>
        <v>10299740.699999999</v>
      </c>
      <c r="I39" s="57">
        <f t="shared" si="2"/>
        <v>10608732.921</v>
      </c>
      <c r="J39" s="57">
        <f t="shared" si="2"/>
        <v>10926994.90863</v>
      </c>
    </row>
    <row r="40" spans="1:10">
      <c r="A40" s="17"/>
      <c r="B40" s="17"/>
      <c r="C40" s="17"/>
      <c r="D40" s="17"/>
      <c r="E40" s="17"/>
      <c r="F40" s="17"/>
      <c r="G40" s="17"/>
    </row>
    <row r="41" spans="1:10">
      <c r="A41" s="17" t="s">
        <v>24</v>
      </c>
      <c r="B41" s="21">
        <f>+B13-B39</f>
        <v>-45644.089999999851</v>
      </c>
      <c r="C41" s="21">
        <f>+C13-C39</f>
        <v>13136.879999999888</v>
      </c>
      <c r="D41" s="21">
        <f t="shared" ref="D41:J41" si="3">+D13-D39</f>
        <v>-138764.99000000022</v>
      </c>
      <c r="E41" s="21">
        <f t="shared" si="3"/>
        <v>90966</v>
      </c>
      <c r="F41" s="21">
        <f t="shared" si="3"/>
        <v>90516</v>
      </c>
      <c r="G41" s="21">
        <f t="shared" si="3"/>
        <v>229280.99000000022</v>
      </c>
      <c r="H41" s="4">
        <f t="shared" si="3"/>
        <v>-104483.69999999925</v>
      </c>
      <c r="I41" s="4">
        <f t="shared" si="3"/>
        <v>-35919.881000000983</v>
      </c>
      <c r="J41" s="4">
        <f t="shared" si="3"/>
        <v>37606.412970000878</v>
      </c>
    </row>
    <row r="42" spans="1:10">
      <c r="A42" s="17" t="s">
        <v>25</v>
      </c>
      <c r="B42" s="17"/>
      <c r="C42" s="17"/>
      <c r="D42" s="17"/>
      <c r="E42" s="17"/>
      <c r="F42" s="17"/>
      <c r="G42" s="17"/>
    </row>
    <row r="43" spans="1:10">
      <c r="A43" s="17"/>
      <c r="B43" s="17"/>
      <c r="C43" s="17"/>
      <c r="D43" s="17"/>
      <c r="E43" s="17"/>
      <c r="F43" s="17"/>
      <c r="G43" s="6">
        <f>F43-D43</f>
        <v>0</v>
      </c>
    </row>
    <row r="44" spans="1:10">
      <c r="A44" s="17" t="s">
        <v>26</v>
      </c>
      <c r="B44" s="17">
        <v>21408</v>
      </c>
      <c r="C44" s="17">
        <v>13344</v>
      </c>
      <c r="D44" s="17">
        <v>13344</v>
      </c>
      <c r="E44" s="17"/>
      <c r="F44" s="17"/>
      <c r="G44" s="17"/>
    </row>
    <row r="45" spans="1:10">
      <c r="A45" s="17" t="s">
        <v>27</v>
      </c>
      <c r="B45" s="17">
        <v>3218520</v>
      </c>
      <c r="C45" s="17"/>
      <c r="D45" s="17"/>
      <c r="E45" s="17"/>
      <c r="F45" s="17"/>
      <c r="G45" s="6"/>
    </row>
    <row r="46" spans="1:10">
      <c r="A46" s="17"/>
      <c r="B46" s="17"/>
      <c r="C46" s="17"/>
      <c r="D46" s="17"/>
      <c r="E46" s="42"/>
      <c r="F46" s="17"/>
      <c r="G46" s="17"/>
    </row>
    <row r="47" spans="1:10" ht="17.25">
      <c r="A47" s="21"/>
      <c r="B47" s="20"/>
      <c r="C47" s="20"/>
      <c r="D47" s="20"/>
      <c r="E47" s="20"/>
      <c r="F47" s="20"/>
      <c r="G47" s="19">
        <f>F47-D47</f>
        <v>0</v>
      </c>
    </row>
    <row r="48" spans="1:10">
      <c r="A48" s="17" t="s">
        <v>28</v>
      </c>
      <c r="B48" s="17">
        <v>-24236</v>
      </c>
      <c r="C48" s="17">
        <f>+C44+C41</f>
        <v>26480.879999999888</v>
      </c>
      <c r="D48" s="17">
        <f>+D44+D41</f>
        <v>-125420.99000000022</v>
      </c>
      <c r="E48" s="17">
        <f t="shared" ref="E48:J48" si="4">+E44+E41</f>
        <v>90966</v>
      </c>
      <c r="F48" s="17">
        <f t="shared" si="4"/>
        <v>90516</v>
      </c>
      <c r="G48" s="17">
        <f t="shared" si="4"/>
        <v>229280.99000000022</v>
      </c>
      <c r="H48" s="4">
        <f t="shared" si="4"/>
        <v>-104483.69999999925</v>
      </c>
      <c r="I48" s="4">
        <f t="shared" si="4"/>
        <v>-35919.881000000983</v>
      </c>
      <c r="J48" s="4">
        <f t="shared" si="4"/>
        <v>37606.412970000878</v>
      </c>
    </row>
    <row r="49" spans="1:10" ht="17.25">
      <c r="A49" s="17" t="s">
        <v>29</v>
      </c>
      <c r="B49" s="20">
        <v>0</v>
      </c>
      <c r="C49" s="20">
        <v>0</v>
      </c>
      <c r="D49" s="20">
        <v>0</v>
      </c>
      <c r="E49" s="20">
        <v>0</v>
      </c>
      <c r="F49" s="20">
        <f t="shared" ref="F49:G49" si="5">SUM(F43:F47)</f>
        <v>0</v>
      </c>
      <c r="G49" s="22">
        <f t="shared" si="5"/>
        <v>0</v>
      </c>
      <c r="H49" s="57">
        <v>0</v>
      </c>
      <c r="I49" s="57">
        <v>0</v>
      </c>
      <c r="J49" s="57">
        <v>0</v>
      </c>
    </row>
    <row r="50" spans="1:10">
      <c r="A50" s="17"/>
      <c r="B50" s="17"/>
      <c r="C50" s="17"/>
      <c r="D50" s="17"/>
      <c r="E50" s="17"/>
      <c r="F50" s="17"/>
      <c r="G50" s="17"/>
    </row>
    <row r="51" spans="1:10">
      <c r="A51" s="17" t="s">
        <v>30</v>
      </c>
      <c r="B51" s="23">
        <v>1063965</v>
      </c>
      <c r="C51" s="5">
        <f>+B54</f>
        <v>1039729</v>
      </c>
      <c r="D51" s="5">
        <f>+C54</f>
        <v>1066209.8799999999</v>
      </c>
      <c r="E51" s="5">
        <f>+D54</f>
        <v>940788.88999999966</v>
      </c>
      <c r="F51" s="5">
        <f>+E54</f>
        <v>1031754.8899999997</v>
      </c>
      <c r="G51" s="5"/>
      <c r="H51" s="4">
        <f>+F54</f>
        <v>1122270.8899999997</v>
      </c>
      <c r="I51" s="4">
        <f>+H54</f>
        <v>1017787.1900000004</v>
      </c>
      <c r="J51" s="4">
        <f>+I54</f>
        <v>981867.30899999943</v>
      </c>
    </row>
    <row r="52" spans="1:10">
      <c r="A52" s="17"/>
      <c r="B52" s="23"/>
      <c r="C52" s="5"/>
      <c r="D52" s="5"/>
      <c r="E52" s="5"/>
      <c r="F52" s="5"/>
      <c r="G52" s="5"/>
    </row>
    <row r="53" spans="1:10">
      <c r="A53" s="17"/>
      <c r="B53" s="23"/>
      <c r="C53" s="5"/>
      <c r="D53" s="5"/>
      <c r="E53" s="5"/>
      <c r="F53" s="5"/>
      <c r="G53" s="5"/>
    </row>
    <row r="54" spans="1:10">
      <c r="A54" s="16" t="s">
        <v>68</v>
      </c>
      <c r="B54" s="17">
        <f>+B51+B48</f>
        <v>1039729</v>
      </c>
      <c r="C54" s="17">
        <f>+C51+C48</f>
        <v>1066209.8799999999</v>
      </c>
      <c r="D54" s="17">
        <f>+D51+D48</f>
        <v>940788.88999999966</v>
      </c>
      <c r="E54" s="17">
        <f t="shared" ref="E54:J54" si="6">+E51+E48</f>
        <v>1031754.8899999997</v>
      </c>
      <c r="F54" s="17">
        <f t="shared" si="6"/>
        <v>1122270.8899999997</v>
      </c>
      <c r="G54" s="17">
        <f t="shared" si="6"/>
        <v>229280.99000000022</v>
      </c>
      <c r="H54" s="4">
        <f t="shared" si="6"/>
        <v>1017787.1900000004</v>
      </c>
      <c r="I54" s="4">
        <f t="shared" si="6"/>
        <v>981867.30899999943</v>
      </c>
      <c r="J54" s="4">
        <f t="shared" si="6"/>
        <v>1019473.7219700003</v>
      </c>
    </row>
    <row r="55" spans="1:10">
      <c r="A55" s="17"/>
      <c r="B55" s="23"/>
      <c r="C55" s="17"/>
      <c r="D55" s="5"/>
      <c r="E55" s="5"/>
      <c r="F55" s="5"/>
      <c r="G55" s="5"/>
    </row>
    <row r="56" spans="1:10">
      <c r="A56" s="23"/>
      <c r="B56" s="23"/>
      <c r="C56" s="24"/>
      <c r="D56" s="24"/>
      <c r="E56" s="24"/>
      <c r="F56" s="24"/>
      <c r="G56" s="24"/>
    </row>
    <row r="57" spans="1:10">
      <c r="A57" s="23"/>
      <c r="B57" s="23"/>
      <c r="C57" s="17"/>
      <c r="D57" s="17"/>
      <c r="E57" s="17"/>
      <c r="F57" s="17"/>
      <c r="G57" s="17"/>
    </row>
    <row r="58" spans="1:10">
      <c r="A58" s="23"/>
      <c r="C58" s="8"/>
      <c r="D58" s="8"/>
      <c r="E58" s="8"/>
      <c r="F58" s="8"/>
      <c r="G58" s="8"/>
    </row>
    <row r="59" spans="1:10">
      <c r="A59" s="23"/>
      <c r="C59" s="8"/>
      <c r="D59" s="8"/>
      <c r="E59" s="8"/>
      <c r="F59" s="8"/>
      <c r="G59" s="8"/>
    </row>
    <row r="60" spans="1:10">
      <c r="A60" s="23"/>
      <c r="C60" s="8"/>
      <c r="D60" s="8"/>
      <c r="E60" s="8"/>
      <c r="F60" s="8"/>
      <c r="G60" s="8"/>
    </row>
    <row r="61" spans="1:10">
      <c r="A61" s="23"/>
      <c r="B61" s="8"/>
      <c r="C61" s="8"/>
      <c r="D61" s="8"/>
      <c r="E61" s="8"/>
      <c r="F61" s="8"/>
      <c r="G61" s="8"/>
    </row>
    <row r="62" spans="1:10">
      <c r="A62" s="23"/>
      <c r="B62" s="8"/>
      <c r="C62" s="8"/>
      <c r="D62" s="8"/>
      <c r="E62" s="8"/>
      <c r="F62" s="8"/>
      <c r="G62" s="8"/>
    </row>
    <row r="63" spans="1:10">
      <c r="A63" s="23"/>
      <c r="B63" s="8"/>
      <c r="C63" s="8"/>
      <c r="D63" s="8"/>
      <c r="E63" s="8"/>
      <c r="F63" s="8"/>
      <c r="G63" s="8"/>
    </row>
    <row r="64" spans="1:10">
      <c r="B64" s="8"/>
      <c r="C64" s="8"/>
      <c r="D64" s="8"/>
      <c r="E64" s="8"/>
      <c r="F64" s="8"/>
      <c r="G64" s="8"/>
    </row>
    <row r="65" spans="1:7">
      <c r="B65" s="8"/>
      <c r="C65" s="8"/>
      <c r="D65" s="8"/>
      <c r="E65" s="8"/>
      <c r="F65" s="8"/>
      <c r="G65" s="8"/>
    </row>
    <row r="66" spans="1:7">
      <c r="B66" s="8"/>
      <c r="C66" s="8"/>
      <c r="D66" s="8"/>
      <c r="E66" s="8"/>
      <c r="F66" s="8"/>
      <c r="G66" s="8"/>
    </row>
    <row r="67" spans="1:7">
      <c r="A67" s="8"/>
      <c r="B67" s="8"/>
      <c r="C67" s="8"/>
      <c r="D67" s="8"/>
      <c r="E67" s="8"/>
      <c r="F67" s="8"/>
      <c r="G67" s="8"/>
    </row>
    <row r="68" spans="1:7">
      <c r="A68" s="8"/>
      <c r="B68" s="8"/>
      <c r="C68" s="8"/>
      <c r="D68" s="8"/>
      <c r="E68" s="8"/>
      <c r="F68" s="8"/>
      <c r="G68" s="8"/>
    </row>
    <row r="69" spans="1:7">
      <c r="A69" s="8"/>
      <c r="B69" s="8"/>
      <c r="C69" s="8"/>
      <c r="D69" s="8"/>
      <c r="E69" s="8"/>
      <c r="F69" s="8"/>
      <c r="G69" s="8"/>
    </row>
    <row r="70" spans="1:7">
      <c r="A70" s="8"/>
      <c r="B70" s="8"/>
      <c r="C70" s="8"/>
      <c r="D70" s="8"/>
      <c r="E70" s="8"/>
      <c r="F70" s="8"/>
      <c r="G70" s="8"/>
    </row>
    <row r="71" spans="1:7">
      <c r="A71" s="8"/>
      <c r="B71" s="8"/>
      <c r="C71" s="8"/>
      <c r="D71" s="8"/>
      <c r="E71" s="8"/>
      <c r="F71" s="8"/>
      <c r="G71" s="8"/>
    </row>
    <row r="72" spans="1:7">
      <c r="A72" s="8"/>
      <c r="B72" s="8"/>
      <c r="C72" s="8"/>
      <c r="D72" s="8"/>
      <c r="E72" s="8"/>
      <c r="F72" s="8"/>
      <c r="G72" s="8"/>
    </row>
    <row r="73" spans="1:7">
      <c r="A73" s="8"/>
      <c r="B73" s="8"/>
      <c r="C73" s="8"/>
      <c r="D73" s="8"/>
      <c r="E73" s="8"/>
      <c r="F73" s="8"/>
      <c r="G73" s="8"/>
    </row>
    <row r="74" spans="1:7">
      <c r="A74" s="8"/>
      <c r="B74" s="8"/>
      <c r="C74" s="8"/>
      <c r="D74" s="8"/>
      <c r="E74" s="8"/>
      <c r="F74" s="8"/>
      <c r="G74" s="8"/>
    </row>
    <row r="75" spans="1:7">
      <c r="A75" s="8"/>
      <c r="B75" s="8"/>
      <c r="C75" s="8"/>
      <c r="D75" s="8"/>
      <c r="E75" s="8"/>
      <c r="F75" s="8"/>
      <c r="G75" s="8"/>
    </row>
    <row r="76" spans="1:7">
      <c r="A76" s="8"/>
      <c r="B76" s="8"/>
      <c r="C76" s="8"/>
      <c r="D76" s="8"/>
      <c r="E76" s="8"/>
      <c r="F76" s="8"/>
      <c r="G76" s="8"/>
    </row>
    <row r="77" spans="1:7">
      <c r="A77" s="8"/>
      <c r="B77" s="3"/>
      <c r="C77" s="3"/>
      <c r="D77" s="3"/>
      <c r="E77" s="3"/>
      <c r="F77" s="3"/>
      <c r="G77" s="3"/>
    </row>
    <row r="78" spans="1:7">
      <c r="A78" s="8"/>
      <c r="B78" s="3"/>
      <c r="C78" s="3"/>
      <c r="D78" s="3"/>
      <c r="E78" s="3"/>
      <c r="F78" s="3"/>
      <c r="G78" s="3"/>
    </row>
    <row r="79" spans="1:7">
      <c r="A79" s="8"/>
      <c r="B79" s="3"/>
      <c r="C79" s="3"/>
      <c r="D79" s="3"/>
      <c r="E79" s="3"/>
      <c r="F79" s="3"/>
      <c r="G79" s="3"/>
    </row>
    <row r="80" spans="1:7">
      <c r="A80" s="8"/>
      <c r="B80" s="3"/>
      <c r="C80" s="3"/>
      <c r="D80" s="3"/>
      <c r="E80" s="3"/>
      <c r="F80" s="3"/>
      <c r="G80" s="3"/>
    </row>
    <row r="81" spans="1:7">
      <c r="A81" s="8"/>
      <c r="B81" s="8"/>
      <c r="C81" s="8"/>
      <c r="D81" s="8"/>
      <c r="E81" s="8"/>
      <c r="F81" s="8"/>
      <c r="G81" s="8"/>
    </row>
    <row r="82" spans="1:7">
      <c r="A82" s="8"/>
      <c r="B82" s="8"/>
      <c r="C82" s="8"/>
      <c r="D82" s="11"/>
      <c r="E82" s="3"/>
      <c r="F82" s="3"/>
      <c r="G82" s="3"/>
    </row>
    <row r="83" spans="1:7">
      <c r="A83" s="3"/>
      <c r="B83" s="8"/>
      <c r="C83" s="11"/>
      <c r="D83" s="11"/>
      <c r="E83" s="11"/>
      <c r="F83" s="11"/>
      <c r="G83" s="11"/>
    </row>
    <row r="84" spans="1:7">
      <c r="A84" s="3"/>
      <c r="B84" s="8"/>
      <c r="C84" s="8"/>
      <c r="D84" s="8"/>
      <c r="E84" s="8"/>
      <c r="F84" s="8"/>
      <c r="G84" s="8"/>
    </row>
    <row r="85" spans="1:7">
      <c r="A85" s="3"/>
      <c r="B85" s="8"/>
      <c r="C85" s="8"/>
      <c r="D85" s="8"/>
      <c r="E85" s="8"/>
      <c r="F85" s="8"/>
      <c r="G85" s="8"/>
    </row>
    <row r="86" spans="1:7">
      <c r="A86" s="3"/>
      <c r="B86" s="8"/>
      <c r="C86" s="8"/>
      <c r="D86" s="8"/>
      <c r="E86" s="8"/>
      <c r="F86" s="8"/>
      <c r="G86" s="8"/>
    </row>
    <row r="87" spans="1:7">
      <c r="A87" s="8"/>
      <c r="B87" s="8"/>
      <c r="C87" s="8"/>
      <c r="D87" s="8"/>
      <c r="E87" s="8"/>
      <c r="F87" s="8"/>
      <c r="G87" s="8"/>
    </row>
    <row r="88" spans="1:7">
      <c r="A88" s="8"/>
      <c r="B88" s="8"/>
      <c r="C88" s="8"/>
      <c r="D88" s="8"/>
      <c r="E88" s="8"/>
      <c r="F88" s="8"/>
      <c r="G88" s="8"/>
    </row>
    <row r="89" spans="1:7">
      <c r="A89" s="8"/>
      <c r="B89" s="8"/>
      <c r="C89" s="8"/>
      <c r="D89" s="8"/>
      <c r="E89" s="8"/>
      <c r="F89" s="8"/>
      <c r="G89" s="8"/>
    </row>
    <row r="90" spans="1:7">
      <c r="A90" s="8"/>
      <c r="B90" s="8"/>
      <c r="C90" s="8"/>
      <c r="D90" s="8"/>
      <c r="E90" s="8"/>
      <c r="F90" s="8"/>
      <c r="G90" s="8"/>
    </row>
    <row r="91" spans="1:7">
      <c r="A91" s="8"/>
      <c r="B91" s="8"/>
      <c r="C91" s="8"/>
      <c r="D91" s="8"/>
      <c r="E91" s="8"/>
      <c r="F91" s="8"/>
      <c r="G91" s="8"/>
    </row>
    <row r="92" spans="1:7">
      <c r="A92" s="8"/>
      <c r="B92" s="8"/>
      <c r="C92" s="8"/>
      <c r="D92" s="8"/>
      <c r="E92" s="8"/>
      <c r="F92" s="8"/>
      <c r="G92" s="8"/>
    </row>
    <row r="93" spans="1:7">
      <c r="A93" s="8"/>
      <c r="B93" s="8"/>
      <c r="C93" s="8"/>
      <c r="D93" s="8"/>
      <c r="E93" s="8"/>
      <c r="F93" s="8"/>
      <c r="G93" s="8"/>
    </row>
    <row r="94" spans="1:7">
      <c r="A94" s="8"/>
      <c r="B94" s="12"/>
      <c r="C94" s="12"/>
      <c r="D94" s="12"/>
      <c r="E94" s="12"/>
      <c r="F94" s="12"/>
      <c r="G94" s="12"/>
    </row>
    <row r="95" spans="1:7">
      <c r="A95" s="8"/>
      <c r="B95" s="8"/>
      <c r="C95" s="8"/>
      <c r="D95" s="8"/>
      <c r="E95" s="8"/>
      <c r="F95" s="8"/>
      <c r="G95" s="8"/>
    </row>
    <row r="96" spans="1:7">
      <c r="A96" s="8"/>
      <c r="B96" s="8"/>
      <c r="C96" s="8"/>
      <c r="D96" s="8"/>
      <c r="E96" s="8"/>
      <c r="F96" s="8"/>
      <c r="G96" s="8"/>
    </row>
    <row r="97" spans="1:7">
      <c r="A97" s="8"/>
      <c r="B97" s="8"/>
      <c r="C97" s="13"/>
      <c r="D97" s="13"/>
      <c r="E97" s="13"/>
      <c r="F97" s="8"/>
      <c r="G97" s="8"/>
    </row>
    <row r="98" spans="1:7">
      <c r="A98" s="8"/>
      <c r="B98" s="8"/>
      <c r="C98" s="13"/>
      <c r="D98" s="8"/>
      <c r="E98" s="8"/>
      <c r="F98" s="8"/>
      <c r="G98" s="8"/>
    </row>
    <row r="99" spans="1:7">
      <c r="A99" s="8"/>
      <c r="B99" s="8"/>
      <c r="C99" s="13"/>
      <c r="D99" s="8"/>
      <c r="E99" s="8"/>
      <c r="F99" s="8"/>
      <c r="G99" s="8"/>
    </row>
    <row r="100" spans="1:7">
      <c r="A100" s="12"/>
      <c r="B100" s="8"/>
      <c r="C100" s="13"/>
      <c r="D100" s="8"/>
      <c r="E100" s="8"/>
      <c r="F100" s="8"/>
      <c r="G100" s="8"/>
    </row>
    <row r="101" spans="1:7">
      <c r="A101" s="8"/>
      <c r="B101" s="8"/>
      <c r="C101" s="8"/>
      <c r="D101" s="8"/>
      <c r="E101" s="8"/>
      <c r="F101" s="8"/>
      <c r="G101" s="8"/>
    </row>
    <row r="102" spans="1:7">
      <c r="A102" s="8"/>
      <c r="B102" s="8"/>
      <c r="C102" s="8"/>
      <c r="D102" s="8"/>
      <c r="E102" s="8"/>
      <c r="F102" s="8"/>
      <c r="G102" s="8"/>
    </row>
    <row r="103" spans="1:7">
      <c r="A103" s="8"/>
      <c r="B103" s="8"/>
      <c r="C103" s="13"/>
      <c r="D103" s="8"/>
      <c r="E103" s="8"/>
      <c r="F103" s="8"/>
      <c r="G103" s="8"/>
    </row>
    <row r="104" spans="1:7">
      <c r="A104" s="8"/>
      <c r="B104" s="8"/>
      <c r="C104" s="8"/>
      <c r="D104" s="8"/>
      <c r="E104" s="8"/>
      <c r="F104" s="8"/>
      <c r="G104" s="8"/>
    </row>
    <row r="105" spans="1:7">
      <c r="A105" s="8"/>
      <c r="B105" s="8"/>
      <c r="C105" s="8"/>
      <c r="D105" s="8"/>
      <c r="E105" s="8"/>
      <c r="F105" s="8"/>
      <c r="G105" s="8"/>
    </row>
    <row r="106" spans="1:7">
      <c r="A106" s="8"/>
      <c r="B106" s="8"/>
      <c r="C106" s="8"/>
      <c r="D106" s="8"/>
      <c r="E106" s="8"/>
      <c r="F106" s="8"/>
      <c r="G106" s="8"/>
    </row>
    <row r="107" spans="1:7">
      <c r="A107" s="8"/>
      <c r="B107" s="8"/>
      <c r="C107" s="8"/>
      <c r="D107" s="8"/>
      <c r="E107" s="8"/>
      <c r="F107" s="8"/>
      <c r="G107" s="8"/>
    </row>
    <row r="108" spans="1:7">
      <c r="A108" s="8"/>
      <c r="B108" s="8"/>
      <c r="C108" s="13"/>
      <c r="D108" s="8"/>
      <c r="E108" s="8"/>
      <c r="F108" s="8"/>
      <c r="G108" s="8"/>
    </row>
    <row r="109" spans="1:7">
      <c r="A109" s="8"/>
      <c r="B109" s="8"/>
      <c r="C109" s="13"/>
      <c r="D109" s="8"/>
      <c r="E109" s="8"/>
      <c r="F109" s="8"/>
      <c r="G109" s="8"/>
    </row>
    <row r="110" spans="1:7">
      <c r="A110" s="8"/>
      <c r="B110" s="8"/>
      <c r="C110" s="13"/>
      <c r="D110" s="13"/>
      <c r="E110" s="13"/>
      <c r="F110" s="8"/>
      <c r="G110" s="8"/>
    </row>
    <row r="111" spans="1:7">
      <c r="A111" s="8"/>
      <c r="B111" s="8"/>
      <c r="C111" s="13"/>
      <c r="D111" s="8"/>
      <c r="E111" s="8"/>
      <c r="F111" s="8"/>
      <c r="G111" s="8"/>
    </row>
    <row r="112" spans="1:7">
      <c r="A112" s="8"/>
      <c r="B112" s="8"/>
      <c r="C112" s="13"/>
      <c r="D112" s="13"/>
      <c r="E112" s="13"/>
      <c r="F112" s="8"/>
      <c r="G112" s="8"/>
    </row>
    <row r="113" spans="1:1">
      <c r="A113" s="8"/>
    </row>
    <row r="114" spans="1:1">
      <c r="A114" s="8"/>
    </row>
    <row r="115" spans="1:1">
      <c r="A115" s="8"/>
    </row>
    <row r="116" spans="1:1">
      <c r="A116" s="8"/>
    </row>
    <row r="117" spans="1:1">
      <c r="A117" s="8"/>
    </row>
    <row r="118" spans="1:1">
      <c r="A118" s="8"/>
    </row>
    <row r="202" spans="6:6">
      <c r="F202" s="4" t="e">
        <f>F15+#REF!+F39+F48+F56+F65+F74+F83+F92+F101+F110+F119+F128+F137+F146+F155+F164+F173+F182+F191+F200-1</f>
        <v>#REF!</v>
      </c>
    </row>
    <row r="212" spans="6:6">
      <c r="F212" s="4">
        <f>SUM(F205:F210)-2</f>
        <v>-2</v>
      </c>
    </row>
  </sheetData>
  <mergeCells count="6">
    <mergeCell ref="E6:F6"/>
    <mergeCell ref="H6:J6"/>
    <mergeCell ref="A1:J1"/>
    <mergeCell ref="A2:J2"/>
    <mergeCell ref="A3:J3"/>
    <mergeCell ref="A4:J4"/>
  </mergeCells>
  <phoneticPr fontId="13" type="noConversion"/>
  <pageMargins left="0.75" right="0.5" top="1" bottom="0.5" header="0.5" footer="0.5"/>
  <pageSetup scale="67" fitToHeight="0" orientation="portrait" horizontalDpi="4294967295" verticalDpi="4294967295" r:id="rId1"/>
  <headerFooter alignWithMargins="0"/>
  <rowBreaks count="1" manualBreakCount="1">
    <brk id="71" max="65535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1122"/>
  <sheetViews>
    <sheetView workbookViewId="0">
      <selection activeCell="P177" sqref="O177:P177"/>
    </sheetView>
  </sheetViews>
  <sheetFormatPr defaultColWidth="5.7109375" defaultRowHeight="12.75" customHeight="1"/>
  <cols>
    <col min="1" max="1" width="42.28515625" style="1" customWidth="1"/>
    <col min="2" max="5" width="12.28515625" style="1" customWidth="1"/>
    <col min="6" max="6" width="12.28515625" style="50" customWidth="1"/>
    <col min="7" max="16384" width="5.7109375" style="1"/>
  </cols>
  <sheetData>
    <row r="1" spans="1:8" s="29" customFormat="1" ht="15.75">
      <c r="A1" s="207" t="s">
        <v>0</v>
      </c>
      <c r="B1" s="207"/>
      <c r="C1" s="207"/>
      <c r="D1" s="207"/>
      <c r="E1" s="207"/>
      <c r="F1" s="207"/>
    </row>
    <row r="2" spans="1:8" s="29" customFormat="1" ht="15.75">
      <c r="A2" s="208" t="s">
        <v>33</v>
      </c>
      <c r="B2" s="208"/>
      <c r="C2" s="208"/>
      <c r="D2" s="208"/>
      <c r="E2" s="208"/>
      <c r="F2" s="208"/>
    </row>
    <row r="3" spans="1:8" s="29" customFormat="1" ht="15.75">
      <c r="A3" s="213" t="s">
        <v>71</v>
      </c>
      <c r="B3" s="213"/>
      <c r="C3" s="213"/>
      <c r="D3" s="213"/>
      <c r="E3" s="213"/>
      <c r="F3" s="213"/>
    </row>
    <row r="4" spans="1:8" s="29" customFormat="1" ht="15.75">
      <c r="A4" s="206" t="s">
        <v>90</v>
      </c>
      <c r="B4" s="206"/>
      <c r="C4" s="206"/>
      <c r="D4" s="206"/>
      <c r="E4" s="206"/>
      <c r="F4" s="206"/>
    </row>
    <row r="5" spans="1:8" s="29" customFormat="1" ht="15.75">
      <c r="A5" s="31"/>
      <c r="B5" s="31"/>
      <c r="C5" s="31"/>
      <c r="D5" s="58"/>
      <c r="E5" s="52" t="s">
        <v>65</v>
      </c>
      <c r="F5" s="52" t="s">
        <v>65</v>
      </c>
    </row>
    <row r="6" spans="1:8" s="29" customFormat="1" ht="15.75">
      <c r="A6" s="32"/>
      <c r="B6" s="59" t="s">
        <v>2</v>
      </c>
      <c r="C6" s="59" t="s">
        <v>2</v>
      </c>
      <c r="D6" s="59" t="s">
        <v>2</v>
      </c>
      <c r="E6" s="32" t="s">
        <v>3</v>
      </c>
      <c r="F6" s="32" t="s">
        <v>3</v>
      </c>
    </row>
    <row r="7" spans="1:8" s="29" customFormat="1" ht="15.75">
      <c r="A7" s="34" t="s">
        <v>5</v>
      </c>
      <c r="B7" s="53" t="s">
        <v>85</v>
      </c>
      <c r="C7" s="53" t="s">
        <v>86</v>
      </c>
      <c r="D7" s="53" t="s">
        <v>87</v>
      </c>
      <c r="E7" s="53" t="s">
        <v>88</v>
      </c>
      <c r="F7" s="53" t="s">
        <v>89</v>
      </c>
    </row>
    <row r="8" spans="1:8" s="4" customFormat="1" ht="15">
      <c r="A8" s="7" t="s">
        <v>34</v>
      </c>
      <c r="B8" s="9"/>
      <c r="C8" s="9"/>
      <c r="D8" s="9"/>
      <c r="E8" s="9"/>
      <c r="F8" s="9"/>
      <c r="H8" s="9"/>
    </row>
    <row r="9" spans="1:8" s="4" customFormat="1" ht="15">
      <c r="A9" s="8" t="s">
        <v>35</v>
      </c>
      <c r="B9" s="51">
        <v>1041324.1700000003</v>
      </c>
      <c r="C9" s="51">
        <v>1448577.6699999997</v>
      </c>
      <c r="D9" s="51">
        <v>2943422</v>
      </c>
      <c r="E9" s="51">
        <v>1546877.2600000021</v>
      </c>
      <c r="F9" s="51">
        <v>1079368.3999999999</v>
      </c>
      <c r="H9" s="9"/>
    </row>
    <row r="10" spans="1:8" s="4" customFormat="1" ht="15">
      <c r="A10" s="8" t="s">
        <v>36</v>
      </c>
      <c r="B10" s="51">
        <v>123097.75000000001</v>
      </c>
      <c r="C10" s="51">
        <v>210193.79000000004</v>
      </c>
      <c r="D10" s="51">
        <v>469423</v>
      </c>
      <c r="E10" s="51">
        <v>9600</v>
      </c>
      <c r="F10" s="51">
        <v>636155.44999999995</v>
      </c>
      <c r="H10" s="9"/>
    </row>
    <row r="11" spans="1:8" s="4" customFormat="1" ht="15">
      <c r="A11" s="8" t="s">
        <v>37</v>
      </c>
      <c r="B11" s="51">
        <v>1904579.46</v>
      </c>
      <c r="C11" s="51">
        <v>2992000.950000003</v>
      </c>
      <c r="D11" s="51">
        <v>2843079</v>
      </c>
      <c r="E11" s="51">
        <v>191599.16999999998</v>
      </c>
      <c r="F11" s="51">
        <v>396965.43</v>
      </c>
      <c r="H11" s="9"/>
    </row>
    <row r="12" spans="1:8" s="4" customFormat="1" ht="15">
      <c r="A12" s="8" t="s">
        <v>38</v>
      </c>
      <c r="B12" s="51">
        <v>413580.95000000007</v>
      </c>
      <c r="C12" s="51">
        <v>207402.62</v>
      </c>
      <c r="D12" s="51">
        <v>30580</v>
      </c>
      <c r="E12" s="51">
        <v>5000</v>
      </c>
      <c r="F12" s="51">
        <v>3174.43</v>
      </c>
      <c r="H12" s="9"/>
    </row>
    <row r="13" spans="1:8" s="4" customFormat="1" ht="15">
      <c r="A13" s="8" t="s">
        <v>39</v>
      </c>
      <c r="B13" s="6">
        <v>0</v>
      </c>
      <c r="C13" s="6">
        <f>0</f>
        <v>0</v>
      </c>
      <c r="D13" s="6">
        <f>0</f>
        <v>0</v>
      </c>
      <c r="E13" s="6">
        <f>0</f>
        <v>0</v>
      </c>
      <c r="F13" s="6">
        <f>0</f>
        <v>0</v>
      </c>
      <c r="H13" s="9"/>
    </row>
    <row r="14" spans="1:8" s="4" customFormat="1" ht="15">
      <c r="A14" s="8" t="s">
        <v>40</v>
      </c>
      <c r="B14" s="54">
        <v>9781.74</v>
      </c>
      <c r="C14" s="54">
        <v>5995</v>
      </c>
      <c r="D14" s="54">
        <v>0</v>
      </c>
      <c r="E14" s="54">
        <f>0</f>
        <v>0</v>
      </c>
      <c r="F14" s="54">
        <v>157</v>
      </c>
      <c r="H14" s="9"/>
    </row>
    <row r="15" spans="1:8" s="4" customFormat="1" ht="15">
      <c r="A15" s="8" t="s">
        <v>42</v>
      </c>
      <c r="B15" s="54">
        <f>SUM(B9:B14)</f>
        <v>3492364.0700000008</v>
      </c>
      <c r="C15" s="54">
        <f>SUM(C9:C14)</f>
        <v>4864170.0300000031</v>
      </c>
      <c r="D15" s="54">
        <f>SUM(D9:D14)</f>
        <v>6286504</v>
      </c>
      <c r="E15" s="54">
        <f>SUM(E9:E14)</f>
        <v>1753076.430000002</v>
      </c>
      <c r="F15" s="54">
        <f>SUM(F9:F14)</f>
        <v>2115820.71</v>
      </c>
      <c r="H15" s="9"/>
    </row>
    <row r="16" spans="1:8" s="4" customFormat="1" ht="15">
      <c r="A16" s="7"/>
      <c r="B16" s="54"/>
      <c r="C16" s="54"/>
      <c r="D16" s="54"/>
      <c r="E16" s="54"/>
      <c r="F16" s="54"/>
      <c r="H16" s="9"/>
    </row>
    <row r="17" spans="1:8" s="4" customFormat="1" ht="15">
      <c r="A17" s="7" t="s">
        <v>41</v>
      </c>
      <c r="B17" s="6"/>
      <c r="C17" s="6"/>
      <c r="D17" s="6"/>
      <c r="E17" s="6"/>
      <c r="F17" s="6"/>
      <c r="H17" s="9"/>
    </row>
    <row r="18" spans="1:8" s="4" customFormat="1" ht="15">
      <c r="A18" s="8" t="s">
        <v>35</v>
      </c>
      <c r="B18" s="6">
        <v>0</v>
      </c>
      <c r="C18" s="6">
        <f>0</f>
        <v>0</v>
      </c>
      <c r="D18" s="6">
        <f>0</f>
        <v>0</v>
      </c>
      <c r="E18" s="6">
        <f>0</f>
        <v>0</v>
      </c>
      <c r="F18" s="6">
        <f>0</f>
        <v>0</v>
      </c>
      <c r="H18" s="9"/>
    </row>
    <row r="19" spans="1:8" s="4" customFormat="1" ht="15">
      <c r="A19" s="8" t="s">
        <v>36</v>
      </c>
      <c r="B19" s="6">
        <v>10759.78</v>
      </c>
      <c r="C19" s="6">
        <v>8261.0400000000009</v>
      </c>
      <c r="D19" s="6">
        <v>0</v>
      </c>
      <c r="E19" s="6">
        <f>0</f>
        <v>0</v>
      </c>
      <c r="F19" s="6">
        <f>0</f>
        <v>0</v>
      </c>
      <c r="H19" s="9"/>
    </row>
    <row r="20" spans="1:8" s="4" customFormat="1" ht="15">
      <c r="A20" s="8" t="s">
        <v>37</v>
      </c>
      <c r="B20" s="6">
        <v>31800.230000000003</v>
      </c>
      <c r="C20" s="6">
        <v>43155.450000000004</v>
      </c>
      <c r="D20" s="6">
        <v>10655</v>
      </c>
      <c r="E20" s="6">
        <f>0</f>
        <v>0</v>
      </c>
      <c r="F20" s="6">
        <v>5812.14</v>
      </c>
      <c r="H20" s="9"/>
    </row>
    <row r="21" spans="1:8" s="4" customFormat="1" ht="15">
      <c r="A21" s="8" t="s">
        <v>38</v>
      </c>
      <c r="B21" s="6">
        <v>6247.85</v>
      </c>
      <c r="C21" s="6">
        <v>889.29</v>
      </c>
      <c r="D21" s="6">
        <v>50</v>
      </c>
      <c r="E21" s="6">
        <f>0</f>
        <v>0</v>
      </c>
      <c r="F21" s="6">
        <f>0</f>
        <v>0</v>
      </c>
      <c r="H21" s="9"/>
    </row>
    <row r="22" spans="1:8" s="4" customFormat="1" ht="15">
      <c r="A22" s="8" t="s">
        <v>39</v>
      </c>
      <c r="B22" s="6">
        <v>0</v>
      </c>
      <c r="C22" s="6">
        <f>0</f>
        <v>0</v>
      </c>
      <c r="D22" s="6">
        <f>0</f>
        <v>0</v>
      </c>
      <c r="E22" s="6">
        <f>0</f>
        <v>0</v>
      </c>
      <c r="F22" s="6">
        <f>0</f>
        <v>0</v>
      </c>
      <c r="H22" s="9"/>
    </row>
    <row r="23" spans="1:8" s="4" customFormat="1" ht="15">
      <c r="A23" s="8" t="s">
        <v>40</v>
      </c>
      <c r="B23" s="54">
        <v>0</v>
      </c>
      <c r="C23" s="54">
        <f>0</f>
        <v>0</v>
      </c>
      <c r="D23" s="54">
        <f>0</f>
        <v>0</v>
      </c>
      <c r="E23" s="54">
        <f>0</f>
        <v>0</v>
      </c>
      <c r="F23" s="54">
        <f>0</f>
        <v>0</v>
      </c>
      <c r="H23" s="9"/>
    </row>
    <row r="24" spans="1:8" s="4" customFormat="1" ht="15">
      <c r="A24" s="8" t="s">
        <v>42</v>
      </c>
      <c r="B24" s="54">
        <f>SUM(B18:B23)</f>
        <v>48807.86</v>
      </c>
      <c r="C24" s="54">
        <f>SUM(C18:C23)</f>
        <v>52305.780000000006</v>
      </c>
      <c r="D24" s="54">
        <f>SUM(D18:D23)</f>
        <v>10705</v>
      </c>
      <c r="E24" s="54">
        <f>SUM(E18:E23)</f>
        <v>0</v>
      </c>
      <c r="F24" s="54">
        <f>SUM(F18:F23)</f>
        <v>5812.14</v>
      </c>
      <c r="H24" s="9"/>
    </row>
    <row r="25" spans="1:8" s="4" customFormat="1" ht="15">
      <c r="A25" s="7"/>
      <c r="B25" s="54"/>
      <c r="C25" s="54"/>
      <c r="D25" s="54"/>
      <c r="E25" s="54"/>
      <c r="F25" s="54"/>
      <c r="H25" s="9"/>
    </row>
    <row r="26" spans="1:8" s="4" customFormat="1" ht="15">
      <c r="A26" s="7" t="s">
        <v>43</v>
      </c>
      <c r="B26" s="6"/>
      <c r="C26" s="6"/>
      <c r="D26" s="6"/>
      <c r="E26" s="6"/>
      <c r="F26" s="6"/>
      <c r="H26" s="9"/>
    </row>
    <row r="27" spans="1:8" s="4" customFormat="1" ht="15">
      <c r="A27" s="8" t="s">
        <v>35</v>
      </c>
      <c r="B27" s="51">
        <v>128834.56999999998</v>
      </c>
      <c r="C27" s="51">
        <v>177985.90999999997</v>
      </c>
      <c r="D27" s="51">
        <v>167528</v>
      </c>
      <c r="E27" s="6">
        <v>214921.65</v>
      </c>
      <c r="F27" s="6">
        <v>169764.55</v>
      </c>
      <c r="H27" s="9"/>
    </row>
    <row r="28" spans="1:8" s="4" customFormat="1" ht="15">
      <c r="A28" s="8" t="s">
        <v>36</v>
      </c>
      <c r="B28" s="6">
        <v>22121</v>
      </c>
      <c r="C28" s="6">
        <v>47491.020000000004</v>
      </c>
      <c r="D28" s="6">
        <v>118891</v>
      </c>
      <c r="E28" s="6">
        <v>2081</v>
      </c>
      <c r="F28" s="6">
        <v>118249.61</v>
      </c>
      <c r="H28" s="9"/>
    </row>
    <row r="29" spans="1:8" s="4" customFormat="1" ht="15">
      <c r="A29" s="8" t="s">
        <v>37</v>
      </c>
      <c r="B29" s="51">
        <v>27999.170000000006</v>
      </c>
      <c r="C29" s="51">
        <v>754.2</v>
      </c>
      <c r="D29" s="51">
        <v>60763</v>
      </c>
      <c r="E29" s="6">
        <v>70348.03</v>
      </c>
      <c r="F29" s="6">
        <v>34691</v>
      </c>
      <c r="H29" s="9"/>
    </row>
    <row r="30" spans="1:8" s="4" customFormat="1" ht="15">
      <c r="A30" s="8" t="s">
        <v>38</v>
      </c>
      <c r="B30" s="51">
        <v>34261.11</v>
      </c>
      <c r="C30" s="51">
        <v>41887.870000000003</v>
      </c>
      <c r="D30" s="51">
        <v>40217</v>
      </c>
      <c r="E30" s="6">
        <v>14814.94</v>
      </c>
      <c r="F30" s="6">
        <v>22436.22</v>
      </c>
      <c r="H30" s="9"/>
    </row>
    <row r="31" spans="1:8" s="4" customFormat="1" ht="15">
      <c r="A31" s="8" t="s">
        <v>39</v>
      </c>
      <c r="B31" s="6">
        <v>0</v>
      </c>
      <c r="C31" s="6">
        <f>0</f>
        <v>0</v>
      </c>
      <c r="D31" s="6">
        <f>0</f>
        <v>0</v>
      </c>
      <c r="E31" s="6">
        <f>0</f>
        <v>0</v>
      </c>
      <c r="F31" s="6">
        <f>0</f>
        <v>0</v>
      </c>
      <c r="H31" s="9"/>
    </row>
    <row r="32" spans="1:8" s="4" customFormat="1" ht="15">
      <c r="A32" s="8" t="s">
        <v>40</v>
      </c>
      <c r="B32" s="54">
        <v>0</v>
      </c>
      <c r="C32" s="54">
        <f>0</f>
        <v>0</v>
      </c>
      <c r="D32" s="54">
        <f>0</f>
        <v>0</v>
      </c>
      <c r="E32" s="54">
        <f>0</f>
        <v>0</v>
      </c>
      <c r="F32" s="54">
        <f>0</f>
        <v>0</v>
      </c>
      <c r="H32" s="9"/>
    </row>
    <row r="33" spans="1:8" s="4" customFormat="1" ht="15">
      <c r="A33" s="8" t="s">
        <v>42</v>
      </c>
      <c r="B33" s="54">
        <f>SUM(B27:B32)</f>
        <v>213215.84999999998</v>
      </c>
      <c r="C33" s="54">
        <f>SUM(C27:C32)</f>
        <v>268119</v>
      </c>
      <c r="D33" s="54">
        <f>SUM(D27:D32)</f>
        <v>387399</v>
      </c>
      <c r="E33" s="54">
        <f>SUM(E27:E32)</f>
        <v>302165.62</v>
      </c>
      <c r="F33" s="54">
        <f>SUM(F27:F32)+1</f>
        <v>345142.38</v>
      </c>
      <c r="H33" s="9"/>
    </row>
    <row r="34" spans="1:8" s="4" customFormat="1" ht="15">
      <c r="A34" s="7"/>
      <c r="B34" s="54"/>
      <c r="C34" s="54"/>
      <c r="D34" s="54"/>
      <c r="E34" s="54"/>
      <c r="F34" s="54"/>
      <c r="H34" s="9"/>
    </row>
    <row r="35" spans="1:8" s="4" customFormat="1" ht="15">
      <c r="A35" s="7" t="s">
        <v>44</v>
      </c>
      <c r="B35" s="6"/>
      <c r="C35" s="6"/>
      <c r="D35" s="6"/>
      <c r="E35" s="6"/>
      <c r="F35" s="6"/>
      <c r="H35" s="9"/>
    </row>
    <row r="36" spans="1:8" s="4" customFormat="1" ht="15">
      <c r="A36" s="8" t="s">
        <v>35</v>
      </c>
      <c r="B36" s="6">
        <v>0</v>
      </c>
      <c r="C36" s="6">
        <f>0</f>
        <v>0</v>
      </c>
      <c r="D36" s="6">
        <v>2630</v>
      </c>
      <c r="E36" s="6">
        <f>0</f>
        <v>0</v>
      </c>
      <c r="F36" s="6">
        <f>0</f>
        <v>0</v>
      </c>
      <c r="H36" s="9"/>
    </row>
    <row r="37" spans="1:8" s="4" customFormat="1" ht="15">
      <c r="A37" s="8" t="s">
        <v>36</v>
      </c>
      <c r="B37" s="6">
        <v>0</v>
      </c>
      <c r="C37" s="6">
        <v>6609.81</v>
      </c>
      <c r="D37" s="6">
        <v>1079</v>
      </c>
      <c r="E37" s="6">
        <f>0</f>
        <v>0</v>
      </c>
      <c r="F37" s="6">
        <v>0</v>
      </c>
      <c r="H37" s="9"/>
    </row>
    <row r="38" spans="1:8" s="4" customFormat="1" ht="15">
      <c r="A38" s="8" t="s">
        <v>37</v>
      </c>
      <c r="B38" s="6">
        <v>0</v>
      </c>
      <c r="C38" s="6">
        <v>3333.5</v>
      </c>
      <c r="D38" s="6">
        <v>8450</v>
      </c>
      <c r="E38" s="6">
        <f>0</f>
        <v>0</v>
      </c>
      <c r="F38" s="6">
        <v>0</v>
      </c>
      <c r="H38" s="9"/>
    </row>
    <row r="39" spans="1:8" s="4" customFormat="1" ht="15">
      <c r="A39" s="8" t="s">
        <v>38</v>
      </c>
      <c r="B39" s="6">
        <v>91</v>
      </c>
      <c r="C39" s="51">
        <v>0</v>
      </c>
      <c r="D39" s="51">
        <v>669</v>
      </c>
      <c r="E39" s="51">
        <v>1000</v>
      </c>
      <c r="F39" s="51">
        <v>0</v>
      </c>
      <c r="H39" s="9"/>
    </row>
    <row r="40" spans="1:8" s="4" customFormat="1" ht="15">
      <c r="A40" s="8" t="s">
        <v>39</v>
      </c>
      <c r="B40" s="6">
        <v>0</v>
      </c>
      <c r="C40" s="6">
        <f>0</f>
        <v>0</v>
      </c>
      <c r="D40" s="6">
        <v>0</v>
      </c>
      <c r="E40" s="6">
        <f>0</f>
        <v>0</v>
      </c>
      <c r="F40" s="6">
        <f>0</f>
        <v>0</v>
      </c>
      <c r="H40" s="9"/>
    </row>
    <row r="41" spans="1:8" s="4" customFormat="1" ht="15">
      <c r="A41" s="8" t="s">
        <v>40</v>
      </c>
      <c r="B41" s="54">
        <v>0</v>
      </c>
      <c r="C41" s="54">
        <f>0</f>
        <v>0</v>
      </c>
      <c r="D41" s="54">
        <f>0</f>
        <v>0</v>
      </c>
      <c r="E41" s="54">
        <f>0</f>
        <v>0</v>
      </c>
      <c r="F41" s="54">
        <f>0</f>
        <v>0</v>
      </c>
      <c r="H41" s="9"/>
    </row>
    <row r="42" spans="1:8" s="4" customFormat="1" ht="15">
      <c r="A42" s="8" t="s">
        <v>42</v>
      </c>
      <c r="B42" s="54">
        <f>SUM(B36:B41)</f>
        <v>91</v>
      </c>
      <c r="C42" s="54">
        <f>SUM(C36:C41)</f>
        <v>9943.3100000000013</v>
      </c>
      <c r="D42" s="54">
        <f>SUM(D36:D41)</f>
        <v>12828</v>
      </c>
      <c r="E42" s="54">
        <f>SUM(E36:E41)</f>
        <v>1000</v>
      </c>
      <c r="F42" s="54">
        <f>SUM(F36:F41)</f>
        <v>0</v>
      </c>
      <c r="H42" s="9"/>
    </row>
    <row r="43" spans="1:8" s="4" customFormat="1" ht="15">
      <c r="A43" s="7"/>
      <c r="B43" s="54"/>
      <c r="C43" s="54"/>
      <c r="D43" s="54"/>
      <c r="E43" s="54"/>
      <c r="F43" s="54"/>
      <c r="H43" s="9"/>
    </row>
    <row r="44" spans="1:8" s="4" customFormat="1" ht="15">
      <c r="A44" s="7" t="s">
        <v>45</v>
      </c>
      <c r="B44" s="6"/>
      <c r="C44" s="6"/>
      <c r="D44" s="6"/>
      <c r="E44" s="6"/>
      <c r="F44" s="6"/>
      <c r="H44" s="9"/>
    </row>
    <row r="45" spans="1:8" s="4" customFormat="1" ht="15">
      <c r="A45" s="8" t="s">
        <v>35</v>
      </c>
      <c r="B45" s="6">
        <v>104.16</v>
      </c>
      <c r="C45" s="6">
        <f>0</f>
        <v>0</v>
      </c>
      <c r="D45" s="6">
        <f>0</f>
        <v>0</v>
      </c>
      <c r="E45" s="6">
        <f>0</f>
        <v>0</v>
      </c>
      <c r="F45" s="6">
        <f>0</f>
        <v>0</v>
      </c>
      <c r="H45" s="9"/>
    </row>
    <row r="46" spans="1:8" s="4" customFormat="1" ht="15">
      <c r="A46" s="8" t="s">
        <v>36</v>
      </c>
      <c r="B46" s="6">
        <v>6673.11</v>
      </c>
      <c r="C46" s="6">
        <v>2906.8900000000003</v>
      </c>
      <c r="D46" s="6">
        <v>2274</v>
      </c>
      <c r="E46" s="6">
        <f>0</f>
        <v>0</v>
      </c>
      <c r="F46" s="6">
        <f>0</f>
        <v>0</v>
      </c>
      <c r="H46" s="9"/>
    </row>
    <row r="47" spans="1:8" s="4" customFormat="1" ht="15">
      <c r="A47" s="8" t="s">
        <v>37</v>
      </c>
      <c r="B47" s="6">
        <v>67447.8</v>
      </c>
      <c r="C47" s="6">
        <v>71959.759999999995</v>
      </c>
      <c r="D47" s="6">
        <v>73820</v>
      </c>
      <c r="E47" s="6">
        <v>1787</v>
      </c>
      <c r="F47" s="6">
        <v>3534</v>
      </c>
      <c r="H47" s="9"/>
    </row>
    <row r="48" spans="1:8" s="4" customFormat="1" ht="15">
      <c r="A48" s="8" t="s">
        <v>38</v>
      </c>
      <c r="B48" s="6">
        <v>118282.66000000003</v>
      </c>
      <c r="C48" s="6">
        <v>147217.89000000001</v>
      </c>
      <c r="D48" s="6">
        <v>242798</v>
      </c>
      <c r="E48" s="6">
        <f>0</f>
        <v>0</v>
      </c>
      <c r="F48" s="6">
        <v>0</v>
      </c>
      <c r="H48" s="9"/>
    </row>
    <row r="49" spans="1:8" s="4" customFormat="1" ht="15">
      <c r="A49" s="8" t="s">
        <v>39</v>
      </c>
      <c r="B49" s="6">
        <v>0</v>
      </c>
      <c r="C49" s="6">
        <f>0</f>
        <v>0</v>
      </c>
      <c r="D49" s="6">
        <f>0</f>
        <v>0</v>
      </c>
      <c r="E49" s="6">
        <f>0</f>
        <v>0</v>
      </c>
      <c r="F49" s="6">
        <f>0</f>
        <v>0</v>
      </c>
      <c r="H49" s="9"/>
    </row>
    <row r="50" spans="1:8" s="4" customFormat="1" ht="15">
      <c r="A50" s="8" t="s">
        <v>40</v>
      </c>
      <c r="B50" s="54">
        <v>0</v>
      </c>
      <c r="C50" s="54">
        <f>0</f>
        <v>0</v>
      </c>
      <c r="D50" s="54">
        <f>0</f>
        <v>0</v>
      </c>
      <c r="E50" s="54">
        <f>0</f>
        <v>0</v>
      </c>
      <c r="F50" s="54">
        <f>0</f>
        <v>0</v>
      </c>
      <c r="H50" s="9"/>
    </row>
    <row r="51" spans="1:8" s="4" customFormat="1" ht="15">
      <c r="A51" s="8" t="s">
        <v>42</v>
      </c>
      <c r="B51" s="54">
        <f>SUM(B45:B50)</f>
        <v>192507.73000000004</v>
      </c>
      <c r="C51" s="54">
        <f>SUM(C45:C50)</f>
        <v>222084.54</v>
      </c>
      <c r="D51" s="54">
        <f>SUM(D45:D50)</f>
        <v>318892</v>
      </c>
      <c r="E51" s="54">
        <f>SUM(E45:E50)</f>
        <v>1787</v>
      </c>
      <c r="F51" s="54">
        <f>SUM(F45:F50)</f>
        <v>3534</v>
      </c>
      <c r="H51" s="9"/>
    </row>
    <row r="52" spans="1:8" s="4" customFormat="1" ht="15">
      <c r="A52" s="7"/>
      <c r="B52" s="6"/>
      <c r="C52" s="6"/>
      <c r="D52" s="6"/>
      <c r="E52" s="6"/>
      <c r="F52" s="6"/>
      <c r="H52" s="9"/>
    </row>
    <row r="53" spans="1:8" s="4" customFormat="1" ht="15">
      <c r="A53" s="7" t="s">
        <v>46</v>
      </c>
      <c r="B53" s="6"/>
      <c r="C53" s="6"/>
      <c r="D53" s="6"/>
      <c r="E53" s="6"/>
      <c r="F53" s="6"/>
      <c r="H53" s="9"/>
    </row>
    <row r="54" spans="1:8" s="4" customFormat="1" ht="15">
      <c r="A54" s="8" t="s">
        <v>35</v>
      </c>
      <c r="B54" s="6">
        <v>1491068.79</v>
      </c>
      <c r="C54" s="51">
        <v>1631206.2200000002</v>
      </c>
      <c r="D54" s="51">
        <v>1975916</v>
      </c>
      <c r="E54" s="51">
        <v>2074177.4900000005</v>
      </c>
      <c r="F54" s="51">
        <v>2593750.79</v>
      </c>
      <c r="H54" s="9"/>
    </row>
    <row r="55" spans="1:8" s="4" customFormat="1" ht="15">
      <c r="A55" s="8" t="s">
        <v>36</v>
      </c>
      <c r="B55" s="6">
        <v>0</v>
      </c>
      <c r="C55" s="6">
        <v>2750</v>
      </c>
      <c r="D55" s="6">
        <v>10000</v>
      </c>
      <c r="E55" s="6">
        <f>0</f>
        <v>0</v>
      </c>
      <c r="F55" s="6">
        <v>19164.580000000002</v>
      </c>
      <c r="H55" s="9"/>
    </row>
    <row r="56" spans="1:8" s="4" customFormat="1" ht="15">
      <c r="A56" s="8" t="s">
        <v>37</v>
      </c>
      <c r="B56" s="6">
        <v>45890.5</v>
      </c>
      <c r="C56" s="6">
        <v>71575.739999999991</v>
      </c>
      <c r="D56" s="6">
        <v>127298</v>
      </c>
      <c r="E56" s="6">
        <v>5700</v>
      </c>
      <c r="F56" s="6">
        <v>5632</v>
      </c>
      <c r="H56" s="9"/>
    </row>
    <row r="57" spans="1:8" s="4" customFormat="1" ht="15">
      <c r="A57" s="8" t="s">
        <v>38</v>
      </c>
      <c r="B57" s="6">
        <v>0</v>
      </c>
      <c r="C57" s="6">
        <v>367</v>
      </c>
      <c r="D57" s="6">
        <v>9996</v>
      </c>
      <c r="E57" s="6">
        <v>6944</v>
      </c>
      <c r="F57" s="6">
        <v>4282</v>
      </c>
      <c r="H57" s="9"/>
    </row>
    <row r="58" spans="1:8" s="4" customFormat="1" ht="15">
      <c r="A58" s="8" t="s">
        <v>39</v>
      </c>
      <c r="B58" s="6">
        <v>0</v>
      </c>
      <c r="C58" s="6">
        <f>0</f>
        <v>0</v>
      </c>
      <c r="D58" s="6">
        <f>0</f>
        <v>0</v>
      </c>
      <c r="E58" s="6">
        <f>0</f>
        <v>0</v>
      </c>
      <c r="F58" s="6">
        <f>0</f>
        <v>0</v>
      </c>
      <c r="H58" s="9"/>
    </row>
    <row r="59" spans="1:8" s="4" customFormat="1" ht="15">
      <c r="A59" s="8" t="s">
        <v>40</v>
      </c>
      <c r="B59" s="54">
        <v>0</v>
      </c>
      <c r="C59" s="54">
        <f>0</f>
        <v>0</v>
      </c>
      <c r="D59" s="54">
        <f>0</f>
        <v>0</v>
      </c>
      <c r="E59" s="54">
        <f>0</f>
        <v>0</v>
      </c>
      <c r="F59" s="54">
        <f>0</f>
        <v>0</v>
      </c>
      <c r="H59" s="9"/>
    </row>
    <row r="60" spans="1:8" s="4" customFormat="1" ht="15">
      <c r="A60" s="8" t="s">
        <v>42</v>
      </c>
      <c r="B60" s="54">
        <f>SUM(B54:B59)</f>
        <v>1536959.29</v>
      </c>
      <c r="C60" s="54">
        <f>SUM(C54:C59)</f>
        <v>1705898.9600000002</v>
      </c>
      <c r="D60" s="54">
        <f>SUM(D54:D59)</f>
        <v>2123210</v>
      </c>
      <c r="E60" s="54">
        <f>SUM(E54:E59)</f>
        <v>2086821.4900000005</v>
      </c>
      <c r="F60" s="54">
        <f>SUM(F54:F59)</f>
        <v>2622829.37</v>
      </c>
      <c r="H60" s="9"/>
    </row>
    <row r="61" spans="1:8" s="4" customFormat="1" ht="15">
      <c r="A61" s="7"/>
      <c r="B61" s="54"/>
      <c r="C61" s="54"/>
      <c r="D61" s="54"/>
      <c r="E61" s="54"/>
      <c r="F61" s="54"/>
      <c r="H61" s="9"/>
    </row>
    <row r="62" spans="1:8" s="4" customFormat="1" ht="15">
      <c r="A62" s="7" t="s">
        <v>47</v>
      </c>
      <c r="B62" s="6"/>
      <c r="C62" s="6"/>
      <c r="D62" s="6"/>
      <c r="E62" s="6"/>
      <c r="F62" s="6"/>
      <c r="H62" s="9"/>
    </row>
    <row r="63" spans="1:8" s="4" customFormat="1" ht="15">
      <c r="A63" s="8" t="s">
        <v>35</v>
      </c>
      <c r="B63" s="6">
        <v>0</v>
      </c>
      <c r="C63" s="6">
        <f>0</f>
        <v>0</v>
      </c>
      <c r="D63" s="6">
        <f>0</f>
        <v>0</v>
      </c>
      <c r="E63" s="6">
        <f>0</f>
        <v>0</v>
      </c>
      <c r="F63" s="6">
        <f>0</f>
        <v>0</v>
      </c>
      <c r="H63" s="9"/>
    </row>
    <row r="64" spans="1:8" s="4" customFormat="1" ht="15">
      <c r="A64" s="8" t="s">
        <v>36</v>
      </c>
      <c r="B64" s="51">
        <v>60000</v>
      </c>
      <c r="C64" s="51">
        <v>60000</v>
      </c>
      <c r="D64" s="51">
        <v>64000</v>
      </c>
      <c r="E64" s="51">
        <v>8077.91</v>
      </c>
      <c r="F64" s="51">
        <v>96000</v>
      </c>
      <c r="H64" s="9"/>
    </row>
    <row r="65" spans="1:8" s="4" customFormat="1" ht="15">
      <c r="A65" s="8" t="s">
        <v>37</v>
      </c>
      <c r="B65" s="6">
        <v>260.33999999999997</v>
      </c>
      <c r="C65" s="6">
        <v>219.44</v>
      </c>
      <c r="D65" s="6">
        <v>379</v>
      </c>
      <c r="E65" s="6">
        <f>0</f>
        <v>0</v>
      </c>
      <c r="F65" s="6">
        <v>465.26</v>
      </c>
      <c r="H65" s="9"/>
    </row>
    <row r="66" spans="1:8" s="4" customFormat="1" ht="15">
      <c r="A66" s="8" t="s">
        <v>38</v>
      </c>
      <c r="B66" s="6">
        <v>0</v>
      </c>
      <c r="C66" s="6">
        <v>847</v>
      </c>
      <c r="D66" s="6">
        <v>0</v>
      </c>
      <c r="E66" s="6">
        <f>0</f>
        <v>0</v>
      </c>
      <c r="F66" s="6">
        <f>0</f>
        <v>0</v>
      </c>
      <c r="H66" s="9"/>
    </row>
    <row r="67" spans="1:8" s="4" customFormat="1" ht="15">
      <c r="A67" s="8" t="s">
        <v>39</v>
      </c>
      <c r="B67" s="6">
        <v>0</v>
      </c>
      <c r="C67" s="6">
        <f>0</f>
        <v>0</v>
      </c>
      <c r="D67" s="6">
        <f>0</f>
        <v>0</v>
      </c>
      <c r="E67" s="6">
        <f>0</f>
        <v>0</v>
      </c>
      <c r="F67" s="6">
        <f>0</f>
        <v>0</v>
      </c>
      <c r="H67" s="9"/>
    </row>
    <row r="68" spans="1:8" s="4" customFormat="1" ht="15">
      <c r="A68" s="8" t="s">
        <v>40</v>
      </c>
      <c r="B68" s="54">
        <v>0</v>
      </c>
      <c r="C68" s="54">
        <f>0</f>
        <v>0</v>
      </c>
      <c r="D68" s="54">
        <f>0</f>
        <v>0</v>
      </c>
      <c r="E68" s="54">
        <f>0</f>
        <v>0</v>
      </c>
      <c r="F68" s="54">
        <f>0</f>
        <v>0</v>
      </c>
      <c r="H68" s="9"/>
    </row>
    <row r="69" spans="1:8" s="4" customFormat="1" ht="15">
      <c r="A69" s="8" t="s">
        <v>42</v>
      </c>
      <c r="B69" s="54">
        <f>SUM(B63:B68)</f>
        <v>60260.34</v>
      </c>
      <c r="C69" s="54">
        <f>SUM(C63:C68)</f>
        <v>61066.44</v>
      </c>
      <c r="D69" s="54">
        <f>SUM(D63:D68)</f>
        <v>64379</v>
      </c>
      <c r="E69" s="54">
        <f>SUM(E63:E68)</f>
        <v>8077.91</v>
      </c>
      <c r="F69" s="54">
        <f>SUM(F63:F68)</f>
        <v>96465.26</v>
      </c>
      <c r="H69" s="9"/>
    </row>
    <row r="70" spans="1:8" s="4" customFormat="1" ht="15">
      <c r="A70" s="7"/>
      <c r="B70" s="54"/>
      <c r="C70" s="54"/>
      <c r="D70" s="54"/>
      <c r="E70" s="54"/>
      <c r="F70" s="54"/>
      <c r="H70" s="9"/>
    </row>
    <row r="71" spans="1:8" s="4" customFormat="1" ht="15">
      <c r="A71" s="7" t="s">
        <v>48</v>
      </c>
      <c r="B71" s="6"/>
      <c r="C71" s="6"/>
      <c r="D71" s="6"/>
      <c r="E71" s="6"/>
      <c r="F71" s="6"/>
      <c r="H71" s="9"/>
    </row>
    <row r="72" spans="1:8" s="4" customFormat="1" ht="15">
      <c r="A72" s="8" t="s">
        <v>35</v>
      </c>
      <c r="B72" s="6">
        <f>0+0</f>
        <v>0</v>
      </c>
      <c r="C72" s="6">
        <f>0</f>
        <v>0</v>
      </c>
      <c r="D72" s="6">
        <v>11028</v>
      </c>
      <c r="E72" s="6">
        <f>0</f>
        <v>0</v>
      </c>
      <c r="F72" s="6">
        <f>0</f>
        <v>0</v>
      </c>
      <c r="H72" s="9"/>
    </row>
    <row r="73" spans="1:8" s="4" customFormat="1" ht="15">
      <c r="A73" s="8" t="s">
        <v>36</v>
      </c>
      <c r="B73" s="6">
        <v>0</v>
      </c>
      <c r="C73" s="6">
        <f>0</f>
        <v>0</v>
      </c>
      <c r="D73" s="6">
        <f>0</f>
        <v>0</v>
      </c>
      <c r="E73" s="6">
        <f>0</f>
        <v>0</v>
      </c>
      <c r="F73" s="6">
        <f>0</f>
        <v>0</v>
      </c>
      <c r="H73" s="9"/>
    </row>
    <row r="74" spans="1:8" s="4" customFormat="1" ht="15">
      <c r="A74" s="8" t="s">
        <v>37</v>
      </c>
      <c r="B74" s="6">
        <v>86.28</v>
      </c>
      <c r="C74" s="6">
        <v>8603.0499999999993</v>
      </c>
      <c r="D74" s="6">
        <v>19901</v>
      </c>
      <c r="E74" s="6">
        <f>0</f>
        <v>0</v>
      </c>
      <c r="F74" s="6">
        <v>0</v>
      </c>
      <c r="H74" s="9"/>
    </row>
    <row r="75" spans="1:8" s="4" customFormat="1" ht="15">
      <c r="A75" s="8" t="s">
        <v>38</v>
      </c>
      <c r="B75" s="6">
        <v>133.56</v>
      </c>
      <c r="C75" s="6">
        <f>0</f>
        <v>0</v>
      </c>
      <c r="D75" s="6">
        <f>0</f>
        <v>0</v>
      </c>
      <c r="E75" s="6">
        <f>0</f>
        <v>0</v>
      </c>
      <c r="F75" s="6">
        <f>0</f>
        <v>0</v>
      </c>
      <c r="H75" s="9"/>
    </row>
    <row r="76" spans="1:8" s="4" customFormat="1" ht="15">
      <c r="A76" s="8" t="s">
        <v>39</v>
      </c>
      <c r="B76" s="6">
        <v>0</v>
      </c>
      <c r="C76" s="6">
        <f>0</f>
        <v>0</v>
      </c>
      <c r="D76" s="6">
        <f>0</f>
        <v>0</v>
      </c>
      <c r="E76" s="6">
        <f>0</f>
        <v>0</v>
      </c>
      <c r="F76" s="6">
        <f>0</f>
        <v>0</v>
      </c>
      <c r="H76" s="9"/>
    </row>
    <row r="77" spans="1:8" s="4" customFormat="1" ht="15">
      <c r="A77" s="8" t="s">
        <v>40</v>
      </c>
      <c r="B77" s="54">
        <v>0</v>
      </c>
      <c r="C77" s="54">
        <v>6950</v>
      </c>
      <c r="D77" s="54">
        <v>0</v>
      </c>
      <c r="E77" s="54">
        <f>0</f>
        <v>0</v>
      </c>
      <c r="F77" s="54">
        <f>0</f>
        <v>0</v>
      </c>
      <c r="H77" s="9"/>
    </row>
    <row r="78" spans="1:8" s="4" customFormat="1" ht="15">
      <c r="A78" s="8" t="s">
        <v>42</v>
      </c>
      <c r="B78" s="54">
        <f>SUM(B72:B77)</f>
        <v>219.84</v>
      </c>
      <c r="C78" s="54">
        <f>SUM(C72:C77)</f>
        <v>15553.05</v>
      </c>
      <c r="D78" s="54">
        <f>SUM(D72:D77)</f>
        <v>30929</v>
      </c>
      <c r="E78" s="54">
        <f>SUM(E72:E77)</f>
        <v>0</v>
      </c>
      <c r="F78" s="54">
        <f>SUM(F72:F77)</f>
        <v>0</v>
      </c>
      <c r="H78" s="9"/>
    </row>
    <row r="79" spans="1:8" s="4" customFormat="1" ht="15">
      <c r="A79" s="8"/>
      <c r="B79" s="54"/>
      <c r="C79" s="54"/>
      <c r="D79" s="54"/>
      <c r="E79" s="54"/>
      <c r="F79" s="54"/>
      <c r="H79" s="9"/>
    </row>
    <row r="80" spans="1:8" s="4" customFormat="1" ht="15">
      <c r="A80" s="7" t="s">
        <v>49</v>
      </c>
      <c r="B80" s="6"/>
      <c r="C80" s="6"/>
      <c r="D80" s="6"/>
      <c r="E80" s="6"/>
      <c r="F80" s="6"/>
      <c r="H80" s="9"/>
    </row>
    <row r="81" spans="1:8" s="4" customFormat="1" ht="15">
      <c r="A81" s="8" t="s">
        <v>35</v>
      </c>
      <c r="B81" s="6">
        <f t="shared" ref="B81:B84" si="0">0+0</f>
        <v>0</v>
      </c>
      <c r="C81" s="6">
        <f>0</f>
        <v>0</v>
      </c>
      <c r="D81" s="6">
        <f>0</f>
        <v>0</v>
      </c>
      <c r="E81" s="6">
        <f>0</f>
        <v>0</v>
      </c>
      <c r="F81" s="6">
        <f>0</f>
        <v>0</v>
      </c>
      <c r="H81" s="9"/>
    </row>
    <row r="82" spans="1:8" s="4" customFormat="1" ht="15">
      <c r="A82" s="8" t="s">
        <v>36</v>
      </c>
      <c r="B82" s="6">
        <f t="shared" si="0"/>
        <v>0</v>
      </c>
      <c r="C82" s="6">
        <f>0</f>
        <v>0</v>
      </c>
      <c r="D82" s="6">
        <f>0</f>
        <v>0</v>
      </c>
      <c r="E82" s="6">
        <f>0</f>
        <v>0</v>
      </c>
      <c r="F82" s="6">
        <f>0</f>
        <v>0</v>
      </c>
      <c r="H82" s="9"/>
    </row>
    <row r="83" spans="1:8" s="4" customFormat="1" ht="15">
      <c r="A83" s="8" t="s">
        <v>37</v>
      </c>
      <c r="B83" s="6">
        <f t="shared" si="0"/>
        <v>0</v>
      </c>
      <c r="C83" s="6">
        <f>0</f>
        <v>0</v>
      </c>
      <c r="D83" s="6">
        <f>0</f>
        <v>0</v>
      </c>
      <c r="E83" s="6">
        <f>0</f>
        <v>0</v>
      </c>
      <c r="F83" s="6">
        <f>0</f>
        <v>0</v>
      </c>
      <c r="H83" s="9"/>
    </row>
    <row r="84" spans="1:8" s="4" customFormat="1" ht="15">
      <c r="A84" s="8" t="s">
        <v>38</v>
      </c>
      <c r="B84" s="6">
        <f t="shared" si="0"/>
        <v>0</v>
      </c>
      <c r="C84" s="6">
        <f>0</f>
        <v>0</v>
      </c>
      <c r="D84" s="6">
        <f>0</f>
        <v>0</v>
      </c>
      <c r="E84" s="6">
        <f>0</f>
        <v>0</v>
      </c>
      <c r="F84" s="6">
        <f>0</f>
        <v>0</v>
      </c>
      <c r="H84" s="9"/>
    </row>
    <row r="85" spans="1:8" s="4" customFormat="1" ht="15">
      <c r="A85" s="8" t="s">
        <v>39</v>
      </c>
      <c r="B85" s="6">
        <v>0</v>
      </c>
      <c r="C85" s="6">
        <f>0</f>
        <v>0</v>
      </c>
      <c r="D85" s="6">
        <f>0</f>
        <v>0</v>
      </c>
      <c r="E85" s="6">
        <f>0</f>
        <v>0</v>
      </c>
      <c r="F85" s="6">
        <f>0</f>
        <v>0</v>
      </c>
      <c r="H85" s="9"/>
    </row>
    <row r="86" spans="1:8" s="4" customFormat="1" ht="15">
      <c r="A86" s="8" t="s">
        <v>40</v>
      </c>
      <c r="B86" s="54">
        <v>0</v>
      </c>
      <c r="C86" s="54">
        <f>0</f>
        <v>0</v>
      </c>
      <c r="D86" s="54">
        <f>0</f>
        <v>0</v>
      </c>
      <c r="E86" s="54">
        <f>0</f>
        <v>0</v>
      </c>
      <c r="F86" s="54">
        <f>0</f>
        <v>0</v>
      </c>
      <c r="H86" s="9"/>
    </row>
    <row r="87" spans="1:8" s="4" customFormat="1" ht="15">
      <c r="A87" s="8" t="s">
        <v>42</v>
      </c>
      <c r="B87" s="54">
        <f>SUM(B81:B86)</f>
        <v>0</v>
      </c>
      <c r="C87" s="54">
        <f>SUM(C81:C86)</f>
        <v>0</v>
      </c>
      <c r="D87" s="54">
        <f>SUM(D81:D86)</f>
        <v>0</v>
      </c>
      <c r="E87" s="54">
        <f>SUM(E81:E86)</f>
        <v>0</v>
      </c>
      <c r="F87" s="54">
        <f>SUM(F81:F86)</f>
        <v>0</v>
      </c>
      <c r="H87" s="9"/>
    </row>
    <row r="88" spans="1:8" s="4" customFormat="1" ht="15">
      <c r="A88" s="7"/>
      <c r="B88" s="54"/>
      <c r="C88" s="54"/>
      <c r="D88" s="54"/>
      <c r="E88" s="54"/>
      <c r="F88" s="54"/>
      <c r="H88" s="9"/>
    </row>
    <row r="89" spans="1:8" s="4" customFormat="1" ht="15">
      <c r="A89" s="7" t="s">
        <v>50</v>
      </c>
      <c r="B89" s="6"/>
      <c r="C89" s="6"/>
      <c r="D89" s="6"/>
      <c r="E89" s="6"/>
      <c r="F89" s="6"/>
      <c r="H89" s="9"/>
    </row>
    <row r="90" spans="1:8" s="4" customFormat="1" ht="15">
      <c r="A90" s="8" t="s">
        <v>35</v>
      </c>
      <c r="B90" s="6">
        <v>0</v>
      </c>
      <c r="C90" s="6">
        <f>0</f>
        <v>0</v>
      </c>
      <c r="D90" s="6">
        <f>0</f>
        <v>0</v>
      </c>
      <c r="E90" s="6">
        <f>0</f>
        <v>0</v>
      </c>
      <c r="F90" s="6">
        <f>0</f>
        <v>0</v>
      </c>
      <c r="H90" s="9"/>
    </row>
    <row r="91" spans="1:8" s="4" customFormat="1" ht="15">
      <c r="A91" s="8" t="s">
        <v>36</v>
      </c>
      <c r="B91" s="51">
        <v>7550405.1200000001</v>
      </c>
      <c r="C91" s="51">
        <v>7660609.6299999999</v>
      </c>
      <c r="D91" s="51">
        <v>8804443</v>
      </c>
      <c r="E91" s="51">
        <v>8850753</v>
      </c>
      <c r="F91" s="51">
        <v>9744044</v>
      </c>
      <c r="H91" s="9"/>
    </row>
    <row r="92" spans="1:8" s="4" customFormat="1" ht="15">
      <c r="A92" s="8" t="s">
        <v>37</v>
      </c>
      <c r="B92" s="51">
        <v>396844.79</v>
      </c>
      <c r="C92" s="51">
        <v>340247.76999999996</v>
      </c>
      <c r="D92" s="51">
        <v>466427</v>
      </c>
      <c r="E92" s="51">
        <v>353741</v>
      </c>
      <c r="F92" s="51">
        <v>353741</v>
      </c>
      <c r="H92" s="9"/>
    </row>
    <row r="93" spans="1:8" s="4" customFormat="1" ht="15">
      <c r="A93" s="8" t="s">
        <v>38</v>
      </c>
      <c r="B93" s="6">
        <v>103870.18</v>
      </c>
      <c r="C93" s="6">
        <v>10000</v>
      </c>
      <c r="D93" s="6">
        <v>2200</v>
      </c>
      <c r="E93" s="6">
        <f>0</f>
        <v>0</v>
      </c>
      <c r="F93" s="6">
        <f>0</f>
        <v>0</v>
      </c>
      <c r="H93" s="9"/>
    </row>
    <row r="94" spans="1:8" s="4" customFormat="1" ht="15">
      <c r="A94" s="8" t="s">
        <v>39</v>
      </c>
      <c r="B94" s="6">
        <v>0</v>
      </c>
      <c r="C94" s="6">
        <f>0</f>
        <v>0</v>
      </c>
      <c r="D94" s="6">
        <f>0</f>
        <v>0</v>
      </c>
      <c r="E94" s="6">
        <f>0</f>
        <v>0</v>
      </c>
      <c r="F94" s="6">
        <f>0</f>
        <v>0</v>
      </c>
      <c r="H94" s="9"/>
    </row>
    <row r="95" spans="1:8" s="4" customFormat="1" ht="15">
      <c r="A95" s="8" t="s">
        <v>40</v>
      </c>
      <c r="B95" s="54">
        <v>9250</v>
      </c>
      <c r="C95" s="54">
        <v>80344.72</v>
      </c>
      <c r="D95" s="54">
        <v>14964</v>
      </c>
      <c r="E95" s="54">
        <f>0</f>
        <v>0</v>
      </c>
      <c r="F95" s="54">
        <f>0</f>
        <v>0</v>
      </c>
      <c r="H95" s="9"/>
    </row>
    <row r="96" spans="1:8" s="4" customFormat="1" ht="15">
      <c r="A96" s="8" t="s">
        <v>42</v>
      </c>
      <c r="B96" s="54">
        <f>SUM(B90:B95)</f>
        <v>8060370.0899999999</v>
      </c>
      <c r="C96" s="54">
        <f>SUM(C90:C95)</f>
        <v>8091202.1199999992</v>
      </c>
      <c r="D96" s="54">
        <f>SUM(D90:D95)</f>
        <v>9288034</v>
      </c>
      <c r="E96" s="54">
        <f>SUM(E90:E95)</f>
        <v>9204494</v>
      </c>
      <c r="F96" s="54">
        <f>SUM(F90:F95)</f>
        <v>10097785</v>
      </c>
      <c r="H96" s="9"/>
    </row>
    <row r="97" spans="1:8" s="4" customFormat="1" ht="15">
      <c r="A97" s="7"/>
      <c r="B97" s="6"/>
      <c r="C97" s="6"/>
      <c r="D97" s="6"/>
      <c r="E97" s="6"/>
      <c r="F97" s="6"/>
      <c r="H97" s="9"/>
    </row>
    <row r="98" spans="1:8" s="4" customFormat="1" ht="15">
      <c r="A98" s="7" t="s">
        <v>51</v>
      </c>
      <c r="B98" s="6"/>
      <c r="C98" s="6"/>
      <c r="D98" s="6"/>
      <c r="E98" s="6"/>
      <c r="F98" s="6"/>
      <c r="H98" s="9"/>
    </row>
    <row r="99" spans="1:8" s="4" customFormat="1" ht="15">
      <c r="A99" s="8" t="s">
        <v>35</v>
      </c>
      <c r="B99" s="6">
        <v>184509.19</v>
      </c>
      <c r="C99" s="6">
        <v>151765.56</v>
      </c>
      <c r="D99" s="6">
        <v>158841</v>
      </c>
      <c r="E99" s="6">
        <f>0</f>
        <v>0</v>
      </c>
      <c r="F99" s="6">
        <f>0</f>
        <v>0</v>
      </c>
      <c r="H99" s="9"/>
    </row>
    <row r="100" spans="1:8" s="4" customFormat="1" ht="15">
      <c r="A100" s="8" t="s">
        <v>36</v>
      </c>
      <c r="B100" s="6">
        <v>137236.07</v>
      </c>
      <c r="C100" s="6">
        <v>201443.39</v>
      </c>
      <c r="D100" s="6">
        <v>130473</v>
      </c>
      <c r="E100" s="6">
        <f>0</f>
        <v>0</v>
      </c>
      <c r="F100" s="6">
        <v>2000</v>
      </c>
      <c r="H100" s="9"/>
    </row>
    <row r="101" spans="1:8" s="4" customFormat="1" ht="15">
      <c r="A101" s="8" t="s">
        <v>37</v>
      </c>
      <c r="B101" s="6">
        <v>849761.81999999972</v>
      </c>
      <c r="C101" s="6">
        <v>756741.24000000022</v>
      </c>
      <c r="D101" s="6">
        <v>576869</v>
      </c>
      <c r="E101" s="6">
        <f>0</f>
        <v>0</v>
      </c>
      <c r="F101" s="6">
        <v>4719.8999999999996</v>
      </c>
      <c r="H101" s="9"/>
    </row>
    <row r="102" spans="1:8" s="4" customFormat="1" ht="15">
      <c r="A102" s="8" t="s">
        <v>38</v>
      </c>
      <c r="B102" s="47">
        <v>619754.35000000009</v>
      </c>
      <c r="C102" s="51">
        <v>651543.93999999971</v>
      </c>
      <c r="D102" s="51">
        <v>-706749</v>
      </c>
      <c r="E102" s="51">
        <v>16006</v>
      </c>
      <c r="F102" s="51">
        <v>2984760.53</v>
      </c>
      <c r="H102" s="9"/>
    </row>
    <row r="103" spans="1:8" s="4" customFormat="1" ht="15">
      <c r="A103" s="8" t="s">
        <v>39</v>
      </c>
      <c r="B103" s="6">
        <v>0</v>
      </c>
      <c r="C103" s="6">
        <f>0</f>
        <v>0</v>
      </c>
      <c r="D103" s="6">
        <f>0</f>
        <v>0</v>
      </c>
      <c r="E103" s="6">
        <f>0</f>
        <v>0</v>
      </c>
      <c r="F103" s="6">
        <f>0</f>
        <v>0</v>
      </c>
      <c r="H103" s="9"/>
    </row>
    <row r="104" spans="1:8" s="4" customFormat="1" ht="15">
      <c r="A104" s="8" t="s">
        <v>40</v>
      </c>
      <c r="B104" s="54">
        <v>0</v>
      </c>
      <c r="C104" s="54">
        <v>8800</v>
      </c>
      <c r="D104" s="54">
        <v>0</v>
      </c>
      <c r="E104" s="54">
        <f>0</f>
        <v>0</v>
      </c>
      <c r="F104" s="54">
        <f>0</f>
        <v>0</v>
      </c>
      <c r="H104" s="9"/>
    </row>
    <row r="105" spans="1:8" s="4" customFormat="1" ht="15">
      <c r="A105" s="8" t="s">
        <v>42</v>
      </c>
      <c r="B105" s="54">
        <f>SUM(B99:B104)</f>
        <v>1791261.4299999997</v>
      </c>
      <c r="C105" s="54">
        <f>SUM(C99:C104)</f>
        <v>1770294.13</v>
      </c>
      <c r="D105" s="54">
        <f>SUM(D99:D104)</f>
        <v>159434</v>
      </c>
      <c r="E105" s="54">
        <f>SUM(E99:E104)</f>
        <v>16006</v>
      </c>
      <c r="F105" s="54">
        <f>SUM(F99:F104)</f>
        <v>2991480.4299999997</v>
      </c>
      <c r="H105" s="9"/>
    </row>
    <row r="106" spans="1:8" s="4" customFormat="1" ht="15">
      <c r="A106" s="7"/>
      <c r="B106" s="6"/>
      <c r="C106" s="6"/>
      <c r="D106" s="6"/>
      <c r="E106" s="6"/>
      <c r="F106" s="6"/>
      <c r="H106" s="9"/>
    </row>
    <row r="107" spans="1:8" s="4" customFormat="1" ht="15">
      <c r="A107" s="7" t="s">
        <v>52</v>
      </c>
      <c r="B107" s="6"/>
      <c r="C107" s="6"/>
      <c r="D107" s="6"/>
      <c r="E107" s="6"/>
      <c r="F107" s="6"/>
      <c r="H107" s="9"/>
    </row>
    <row r="108" spans="1:8" s="4" customFormat="1" ht="15">
      <c r="A108" s="8" t="s">
        <v>35</v>
      </c>
      <c r="B108" s="6">
        <f>0+0</f>
        <v>0</v>
      </c>
      <c r="C108" s="6">
        <v>116554.29999999999</v>
      </c>
      <c r="D108" s="6">
        <v>122804</v>
      </c>
      <c r="E108" s="6">
        <f>131138.4</f>
        <v>131138.4</v>
      </c>
      <c r="F108" s="6">
        <v>122924</v>
      </c>
      <c r="H108" s="9"/>
    </row>
    <row r="109" spans="1:8" s="4" customFormat="1" ht="15">
      <c r="A109" s="8" t="s">
        <v>36</v>
      </c>
      <c r="B109" s="6">
        <v>3418</v>
      </c>
      <c r="C109" s="6">
        <f>0</f>
        <v>0</v>
      </c>
      <c r="D109" s="6">
        <f>0</f>
        <v>0</v>
      </c>
      <c r="E109" s="6">
        <f>0</f>
        <v>0</v>
      </c>
      <c r="F109" s="6">
        <f>0</f>
        <v>0</v>
      </c>
      <c r="H109" s="9"/>
    </row>
    <row r="110" spans="1:8" s="4" customFormat="1" ht="15">
      <c r="A110" s="8" t="s">
        <v>37</v>
      </c>
      <c r="B110" s="6">
        <v>11014.39</v>
      </c>
      <c r="C110" s="6">
        <v>3421.76</v>
      </c>
      <c r="D110" s="6">
        <v>2330</v>
      </c>
      <c r="E110" s="6">
        <f>0</f>
        <v>0</v>
      </c>
      <c r="F110" s="6">
        <f>0</f>
        <v>0</v>
      </c>
      <c r="H110" s="9"/>
    </row>
    <row r="111" spans="1:8" s="4" customFormat="1" ht="15">
      <c r="A111" s="8" t="s">
        <v>38</v>
      </c>
      <c r="B111" s="6">
        <v>50574.42</v>
      </c>
      <c r="C111" s="6">
        <v>24738.400000000001</v>
      </c>
      <c r="D111" s="6">
        <v>32225</v>
      </c>
      <c r="E111" s="6">
        <f>0</f>
        <v>0</v>
      </c>
      <c r="F111" s="6">
        <v>8765</v>
      </c>
      <c r="H111" s="9"/>
    </row>
    <row r="112" spans="1:8" s="4" customFormat="1" ht="15">
      <c r="A112" s="8" t="s">
        <v>39</v>
      </c>
      <c r="B112" s="6">
        <v>0</v>
      </c>
      <c r="C112" s="6">
        <f>0</f>
        <v>0</v>
      </c>
      <c r="D112" s="6">
        <f>0</f>
        <v>0</v>
      </c>
      <c r="E112" s="6">
        <f>0</f>
        <v>0</v>
      </c>
      <c r="F112" s="6">
        <f>0</f>
        <v>0</v>
      </c>
      <c r="H112" s="9"/>
    </row>
    <row r="113" spans="1:8" s="4" customFormat="1" ht="15">
      <c r="A113" s="8" t="s">
        <v>40</v>
      </c>
      <c r="B113" s="54">
        <v>0</v>
      </c>
      <c r="C113" s="54">
        <f>0</f>
        <v>0</v>
      </c>
      <c r="D113" s="54">
        <f>0</f>
        <v>0</v>
      </c>
      <c r="E113" s="54">
        <f>0</f>
        <v>0</v>
      </c>
      <c r="F113" s="54">
        <f>0</f>
        <v>0</v>
      </c>
      <c r="H113" s="9"/>
    </row>
    <row r="114" spans="1:8" s="4" customFormat="1" ht="15">
      <c r="A114" s="8" t="s">
        <v>42</v>
      </c>
      <c r="B114" s="54">
        <f>SUM(B108:B113)</f>
        <v>65006.81</v>
      </c>
      <c r="C114" s="54">
        <f>SUM(C108:C113)</f>
        <v>144714.46</v>
      </c>
      <c r="D114" s="54">
        <f>SUM(D108:D113)</f>
        <v>157359</v>
      </c>
      <c r="E114" s="54">
        <f>SUM(E108:E113)</f>
        <v>131138.4</v>
      </c>
      <c r="F114" s="54">
        <f>SUM(F108:F113)</f>
        <v>131689</v>
      </c>
      <c r="H114" s="9"/>
    </row>
    <row r="115" spans="1:8" s="4" customFormat="1" ht="15">
      <c r="A115" s="7"/>
      <c r="B115" s="6"/>
      <c r="C115" s="6"/>
      <c r="D115" s="6"/>
      <c r="E115" s="6"/>
      <c r="F115" s="6"/>
      <c r="H115" s="9"/>
    </row>
    <row r="116" spans="1:8" s="4" customFormat="1" ht="15">
      <c r="A116" s="7" t="s">
        <v>53</v>
      </c>
      <c r="B116" s="6"/>
      <c r="C116" s="6"/>
      <c r="D116" s="6"/>
      <c r="E116" s="6"/>
      <c r="F116" s="6"/>
      <c r="H116" s="9"/>
    </row>
    <row r="117" spans="1:8" s="4" customFormat="1" ht="15">
      <c r="A117" s="8" t="s">
        <v>35</v>
      </c>
      <c r="B117" s="6">
        <v>107.67999999999999</v>
      </c>
      <c r="C117" s="51">
        <f>0</f>
        <v>0</v>
      </c>
      <c r="D117" s="51">
        <f>0</f>
        <v>0</v>
      </c>
      <c r="E117" s="51">
        <f>0</f>
        <v>0</v>
      </c>
      <c r="F117" s="51">
        <f>0</f>
        <v>0</v>
      </c>
      <c r="H117" s="9"/>
    </row>
    <row r="118" spans="1:8" s="4" customFormat="1" ht="15">
      <c r="A118" s="8" t="s">
        <v>36</v>
      </c>
      <c r="B118" s="6">
        <v>60707</v>
      </c>
      <c r="C118" s="51">
        <v>59723</v>
      </c>
      <c r="D118" s="51">
        <v>0</v>
      </c>
      <c r="E118" s="51">
        <v>0</v>
      </c>
      <c r="F118" s="51">
        <v>0</v>
      </c>
      <c r="H118" s="9"/>
    </row>
    <row r="119" spans="1:8" s="4" customFormat="1" ht="15">
      <c r="A119" s="8" t="s">
        <v>37</v>
      </c>
      <c r="B119" s="6">
        <v>16313.6</v>
      </c>
      <c r="C119" s="6">
        <f>0</f>
        <v>0</v>
      </c>
      <c r="D119" s="6">
        <f>0</f>
        <v>0</v>
      </c>
      <c r="E119" s="6">
        <f>0</f>
        <v>0</v>
      </c>
      <c r="F119" s="6">
        <f>0</f>
        <v>0</v>
      </c>
      <c r="H119" s="9"/>
    </row>
    <row r="120" spans="1:8" s="4" customFormat="1" ht="15">
      <c r="A120" s="8" t="s">
        <v>38</v>
      </c>
      <c r="B120" s="6">
        <f t="shared" ref="B120" si="1">0+0</f>
        <v>0</v>
      </c>
      <c r="C120" s="6">
        <f>0</f>
        <v>0</v>
      </c>
      <c r="D120" s="6">
        <f>0</f>
        <v>0</v>
      </c>
      <c r="E120" s="6">
        <f>0</f>
        <v>0</v>
      </c>
      <c r="F120" s="6">
        <f>0</f>
        <v>0</v>
      </c>
      <c r="H120" s="9"/>
    </row>
    <row r="121" spans="1:8" s="4" customFormat="1" ht="15">
      <c r="A121" s="8" t="s">
        <v>39</v>
      </c>
      <c r="B121" s="6">
        <v>0</v>
      </c>
      <c r="C121" s="6">
        <f>0</f>
        <v>0</v>
      </c>
      <c r="D121" s="6">
        <f>0</f>
        <v>0</v>
      </c>
      <c r="E121" s="6">
        <f>0</f>
        <v>0</v>
      </c>
      <c r="F121" s="6">
        <f>0</f>
        <v>0</v>
      </c>
      <c r="H121" s="9"/>
    </row>
    <row r="122" spans="1:8" s="4" customFormat="1" ht="15">
      <c r="A122" s="8" t="s">
        <v>40</v>
      </c>
      <c r="B122" s="54">
        <v>0</v>
      </c>
      <c r="C122" s="54">
        <f>0</f>
        <v>0</v>
      </c>
      <c r="D122" s="54">
        <f>0</f>
        <v>0</v>
      </c>
      <c r="E122" s="54">
        <f>0</f>
        <v>0</v>
      </c>
      <c r="F122" s="54">
        <f>0</f>
        <v>0</v>
      </c>
      <c r="H122" s="9"/>
    </row>
    <row r="123" spans="1:8" s="4" customFormat="1" ht="15">
      <c r="A123" s="8" t="s">
        <v>42</v>
      </c>
      <c r="B123" s="54">
        <f>SUM(B117:B122)</f>
        <v>77128.28</v>
      </c>
      <c r="C123" s="54">
        <f>SUM(C117:C122)</f>
        <v>59723</v>
      </c>
      <c r="D123" s="54">
        <f>SUM(D117:D122)</f>
        <v>0</v>
      </c>
      <c r="E123" s="54">
        <f>SUM(E117:E122)</f>
        <v>0</v>
      </c>
      <c r="F123" s="54">
        <f>SUM(F117:F122)</f>
        <v>0</v>
      </c>
      <c r="H123" s="9"/>
    </row>
    <row r="124" spans="1:8" s="4" customFormat="1" ht="15">
      <c r="A124" s="7"/>
      <c r="B124" s="54"/>
      <c r="C124" s="54"/>
      <c r="D124" s="54"/>
      <c r="E124" s="54"/>
      <c r="F124" s="54"/>
      <c r="H124" s="9"/>
    </row>
    <row r="125" spans="1:8" s="4" customFormat="1" ht="15">
      <c r="A125" s="7" t="s">
        <v>55</v>
      </c>
      <c r="B125" s="6"/>
      <c r="C125" s="6"/>
      <c r="D125" s="6"/>
      <c r="E125" s="6"/>
      <c r="F125" s="6"/>
      <c r="H125" s="9"/>
    </row>
    <row r="126" spans="1:8" s="4" customFormat="1" ht="15">
      <c r="A126" s="8" t="s">
        <v>35</v>
      </c>
      <c r="B126" s="6">
        <f>0+0</f>
        <v>0</v>
      </c>
      <c r="C126" s="6">
        <f>0</f>
        <v>0</v>
      </c>
      <c r="D126" s="6">
        <f>0</f>
        <v>0</v>
      </c>
      <c r="E126" s="6">
        <f>0</f>
        <v>0</v>
      </c>
      <c r="F126" s="6">
        <f>0</f>
        <v>0</v>
      </c>
      <c r="H126" s="9"/>
    </row>
    <row r="127" spans="1:8" s="4" customFormat="1" ht="15">
      <c r="A127" s="8" t="s">
        <v>36</v>
      </c>
      <c r="B127" s="6">
        <v>640</v>
      </c>
      <c r="C127" s="6">
        <f>0</f>
        <v>0</v>
      </c>
      <c r="D127" s="6">
        <f>0</f>
        <v>0</v>
      </c>
      <c r="E127" s="6">
        <f>0</f>
        <v>0</v>
      </c>
      <c r="F127" s="6">
        <f>0</f>
        <v>0</v>
      </c>
      <c r="H127" s="9"/>
    </row>
    <row r="128" spans="1:8" s="4" customFormat="1" ht="15">
      <c r="A128" s="8" t="s">
        <v>37</v>
      </c>
      <c r="B128" s="6">
        <v>17713.830000000002</v>
      </c>
      <c r="C128" s="6">
        <v>14625.449999999999</v>
      </c>
      <c r="D128" s="6">
        <v>6016</v>
      </c>
      <c r="E128" s="6">
        <f>0</f>
        <v>0</v>
      </c>
      <c r="F128" s="6">
        <v>175748.66</v>
      </c>
      <c r="H128" s="9"/>
    </row>
    <row r="129" spans="1:8" s="4" customFormat="1" ht="15">
      <c r="A129" s="8" t="s">
        <v>38</v>
      </c>
      <c r="B129" s="6">
        <f>0+0</f>
        <v>0</v>
      </c>
      <c r="C129" s="6">
        <f>0</f>
        <v>0</v>
      </c>
      <c r="D129" s="6">
        <f>0</f>
        <v>0</v>
      </c>
      <c r="E129" s="6">
        <f>0</f>
        <v>0</v>
      </c>
      <c r="F129" s="6">
        <f>0</f>
        <v>0</v>
      </c>
      <c r="H129" s="9"/>
    </row>
    <row r="130" spans="1:8" s="4" customFormat="1" ht="15">
      <c r="A130" s="8" t="s">
        <v>39</v>
      </c>
      <c r="B130" s="6">
        <v>0</v>
      </c>
      <c r="C130" s="6">
        <f>0</f>
        <v>0</v>
      </c>
      <c r="D130" s="6">
        <f>0</f>
        <v>0</v>
      </c>
      <c r="E130" s="6">
        <f>0</f>
        <v>0</v>
      </c>
      <c r="F130" s="6">
        <f>0</f>
        <v>0</v>
      </c>
      <c r="H130" s="9"/>
    </row>
    <row r="131" spans="1:8" s="4" customFormat="1" ht="15">
      <c r="A131" s="8" t="s">
        <v>40</v>
      </c>
      <c r="B131" s="54">
        <v>0</v>
      </c>
      <c r="C131" s="54">
        <f>0</f>
        <v>0</v>
      </c>
      <c r="D131" s="54">
        <f>0</f>
        <v>0</v>
      </c>
      <c r="E131" s="54">
        <f>0</f>
        <v>0</v>
      </c>
      <c r="F131" s="54">
        <v>109200.75</v>
      </c>
      <c r="H131" s="9"/>
    </row>
    <row r="132" spans="1:8" s="4" customFormat="1" ht="15">
      <c r="A132" s="8" t="s">
        <v>42</v>
      </c>
      <c r="B132" s="54">
        <f>SUM(B126:B131)</f>
        <v>18353.830000000002</v>
      </c>
      <c r="C132" s="54">
        <f>SUM(C126:C131)</f>
        <v>14625.449999999999</v>
      </c>
      <c r="D132" s="54">
        <f>SUM(D126:D131)</f>
        <v>6016</v>
      </c>
      <c r="E132" s="54">
        <f>SUM(E126:E131)</f>
        <v>0</v>
      </c>
      <c r="F132" s="54">
        <f>SUM(F126:F131)</f>
        <v>284949.41000000003</v>
      </c>
      <c r="H132" s="9"/>
    </row>
    <row r="133" spans="1:8" s="4" customFormat="1" ht="15">
      <c r="A133" s="7"/>
      <c r="B133" s="6"/>
      <c r="C133" s="6"/>
      <c r="D133" s="6"/>
      <c r="E133" s="6"/>
      <c r="F133" s="6"/>
      <c r="H133" s="9"/>
    </row>
    <row r="134" spans="1:8" s="4" customFormat="1" ht="15">
      <c r="A134" s="7" t="s">
        <v>56</v>
      </c>
      <c r="B134" s="6"/>
      <c r="C134" s="6"/>
      <c r="D134" s="6"/>
      <c r="E134" s="6"/>
      <c r="F134" s="6"/>
      <c r="H134" s="9"/>
    </row>
    <row r="135" spans="1:8" s="4" customFormat="1" ht="15">
      <c r="A135" s="8" t="s">
        <v>35</v>
      </c>
      <c r="B135" s="6">
        <f t="shared" ref="B135:B138" si="2">0+0</f>
        <v>0</v>
      </c>
      <c r="C135" s="6">
        <f>0</f>
        <v>0</v>
      </c>
      <c r="D135" s="6">
        <v>27119</v>
      </c>
      <c r="E135" s="6">
        <v>26119.62</v>
      </c>
      <c r="F135" s="6">
        <v>0</v>
      </c>
      <c r="H135" s="9"/>
    </row>
    <row r="136" spans="1:8" s="4" customFormat="1" ht="15">
      <c r="A136" s="8" t="s">
        <v>36</v>
      </c>
      <c r="B136" s="6">
        <v>0</v>
      </c>
      <c r="C136" s="6">
        <f>0</f>
        <v>0</v>
      </c>
      <c r="D136" s="6">
        <f>0</f>
        <v>0</v>
      </c>
      <c r="E136" s="6">
        <f>0</f>
        <v>0</v>
      </c>
      <c r="F136" s="6">
        <f>0</f>
        <v>0</v>
      </c>
      <c r="H136" s="9"/>
    </row>
    <row r="137" spans="1:8" s="4" customFormat="1" ht="15">
      <c r="A137" s="8" t="s">
        <v>37</v>
      </c>
      <c r="B137" s="6">
        <f t="shared" si="2"/>
        <v>0</v>
      </c>
      <c r="C137" s="6">
        <f>0</f>
        <v>0</v>
      </c>
      <c r="D137" s="6">
        <f>0</f>
        <v>0</v>
      </c>
      <c r="E137" s="6">
        <f>0</f>
        <v>0</v>
      </c>
      <c r="F137" s="6">
        <f>0</f>
        <v>0</v>
      </c>
      <c r="H137" s="9"/>
    </row>
    <row r="138" spans="1:8" s="4" customFormat="1" ht="15">
      <c r="A138" s="8" t="s">
        <v>38</v>
      </c>
      <c r="B138" s="6">
        <f t="shared" si="2"/>
        <v>0</v>
      </c>
      <c r="C138" s="6">
        <f>0</f>
        <v>0</v>
      </c>
      <c r="D138" s="6">
        <f>0</f>
        <v>0</v>
      </c>
      <c r="E138" s="6">
        <f>0</f>
        <v>0</v>
      </c>
      <c r="F138" s="6">
        <f>0</f>
        <v>0</v>
      </c>
      <c r="H138" s="9"/>
    </row>
    <row r="139" spans="1:8" s="4" customFormat="1" ht="15">
      <c r="A139" s="8" t="s">
        <v>39</v>
      </c>
      <c r="B139" s="6">
        <v>0</v>
      </c>
      <c r="C139" s="6">
        <f>0</f>
        <v>0</v>
      </c>
      <c r="D139" s="6">
        <f>0</f>
        <v>0</v>
      </c>
      <c r="E139" s="6">
        <f>0</f>
        <v>0</v>
      </c>
      <c r="F139" s="6">
        <f>0</f>
        <v>0</v>
      </c>
      <c r="H139" s="9"/>
    </row>
    <row r="140" spans="1:8" s="4" customFormat="1" ht="15">
      <c r="A140" s="8" t="s">
        <v>40</v>
      </c>
      <c r="B140" s="54">
        <v>0</v>
      </c>
      <c r="C140" s="54">
        <f>0</f>
        <v>0</v>
      </c>
      <c r="D140" s="54">
        <f>0</f>
        <v>0</v>
      </c>
      <c r="E140" s="54">
        <f>0</f>
        <v>0</v>
      </c>
      <c r="F140" s="54">
        <f>0</f>
        <v>0</v>
      </c>
      <c r="H140" s="9"/>
    </row>
    <row r="141" spans="1:8" s="4" customFormat="1" ht="15">
      <c r="A141" s="8" t="s">
        <v>42</v>
      </c>
      <c r="B141" s="54">
        <f>SUM(B135:B140)</f>
        <v>0</v>
      </c>
      <c r="C141" s="54">
        <f>SUM(C135:C140)</f>
        <v>0</v>
      </c>
      <c r="D141" s="54">
        <f>SUM(D135:D140)</f>
        <v>27119</v>
      </c>
      <c r="E141" s="54">
        <f>SUM(E135:E140)</f>
        <v>26119.62</v>
      </c>
      <c r="F141" s="54">
        <f>SUM(F135:F140)</f>
        <v>0</v>
      </c>
      <c r="H141" s="9"/>
    </row>
    <row r="142" spans="1:8" s="4" customFormat="1" ht="15">
      <c r="A142" s="7"/>
      <c r="B142" s="6"/>
      <c r="C142" s="6"/>
      <c r="D142" s="6"/>
      <c r="E142" s="6"/>
      <c r="F142" s="6"/>
      <c r="H142" s="9"/>
    </row>
    <row r="143" spans="1:8" s="4" customFormat="1" ht="15">
      <c r="A143" s="7" t="s">
        <v>57</v>
      </c>
      <c r="B143" s="6"/>
      <c r="C143" s="6"/>
      <c r="D143" s="6"/>
      <c r="E143" s="6"/>
      <c r="F143" s="6"/>
      <c r="H143" s="9"/>
    </row>
    <row r="144" spans="1:8" s="4" customFormat="1" ht="15">
      <c r="A144" s="8" t="s">
        <v>35</v>
      </c>
      <c r="B144" s="51">
        <v>25969.65</v>
      </c>
      <c r="C144" s="51">
        <v>29198.71</v>
      </c>
      <c r="D144" s="51">
        <v>58360</v>
      </c>
      <c r="E144" s="51">
        <v>61880.93</v>
      </c>
      <c r="F144" s="51">
        <v>81754</v>
      </c>
      <c r="H144" s="9"/>
    </row>
    <row r="145" spans="1:8" s="4" customFormat="1" ht="15">
      <c r="A145" s="8" t="s">
        <v>36</v>
      </c>
      <c r="B145" s="6">
        <v>0</v>
      </c>
      <c r="C145" s="6">
        <f>0</f>
        <v>0</v>
      </c>
      <c r="D145" s="6">
        <v>16000</v>
      </c>
      <c r="E145" s="6">
        <v>16000</v>
      </c>
      <c r="F145" s="6">
        <v>33996</v>
      </c>
      <c r="H145" s="9"/>
    </row>
    <row r="146" spans="1:8" s="4" customFormat="1" ht="15">
      <c r="A146" s="8" t="s">
        <v>37</v>
      </c>
      <c r="B146" s="51">
        <v>1860.8899999999999</v>
      </c>
      <c r="C146" s="6">
        <f>0</f>
        <v>0</v>
      </c>
      <c r="D146" s="6">
        <v>7110</v>
      </c>
      <c r="E146" s="6">
        <v>10257</v>
      </c>
      <c r="F146" s="6">
        <v>2975</v>
      </c>
      <c r="H146" s="9"/>
    </row>
    <row r="147" spans="1:8" s="4" customFormat="1" ht="15">
      <c r="A147" s="8" t="s">
        <v>38</v>
      </c>
      <c r="B147" s="51">
        <v>0</v>
      </c>
      <c r="C147" s="51">
        <v>0</v>
      </c>
      <c r="D147" s="51">
        <v>555</v>
      </c>
      <c r="E147" s="51">
        <v>4349</v>
      </c>
      <c r="F147" s="51">
        <v>0</v>
      </c>
      <c r="H147" s="9"/>
    </row>
    <row r="148" spans="1:8" s="4" customFormat="1" ht="15">
      <c r="A148" s="8" t="s">
        <v>39</v>
      </c>
      <c r="B148" s="6">
        <v>0</v>
      </c>
      <c r="C148" s="6">
        <f>0</f>
        <v>0</v>
      </c>
      <c r="D148" s="6">
        <f>0</f>
        <v>0</v>
      </c>
      <c r="E148" s="6">
        <f>0</f>
        <v>0</v>
      </c>
      <c r="F148" s="6">
        <f>0</f>
        <v>0</v>
      </c>
      <c r="H148" s="9"/>
    </row>
    <row r="149" spans="1:8" s="4" customFormat="1" ht="15">
      <c r="A149" s="8" t="s">
        <v>40</v>
      </c>
      <c r="B149" s="54">
        <v>0</v>
      </c>
      <c r="C149" s="54">
        <f>0</f>
        <v>0</v>
      </c>
      <c r="D149" s="54">
        <f>0</f>
        <v>0</v>
      </c>
      <c r="E149" s="54">
        <f>0</f>
        <v>0</v>
      </c>
      <c r="F149" s="54">
        <f>0</f>
        <v>0</v>
      </c>
      <c r="H149" s="9"/>
    </row>
    <row r="150" spans="1:8" s="4" customFormat="1" ht="15">
      <c r="A150" s="8" t="s">
        <v>42</v>
      </c>
      <c r="B150" s="54">
        <f>SUM(B144:B149)</f>
        <v>27830.54</v>
      </c>
      <c r="C150" s="54">
        <f>SUM(C144:C149)</f>
        <v>29198.71</v>
      </c>
      <c r="D150" s="54">
        <f>SUM(D144:D149)</f>
        <v>82025</v>
      </c>
      <c r="E150" s="54">
        <f>SUM(E144:E149)</f>
        <v>92486.93</v>
      </c>
      <c r="F150" s="54">
        <f>SUM(F144:F149)</f>
        <v>118725</v>
      </c>
      <c r="H150" s="9"/>
    </row>
    <row r="151" spans="1:8" s="4" customFormat="1" ht="15">
      <c r="A151" s="7"/>
      <c r="B151" s="6"/>
      <c r="C151" s="6"/>
      <c r="D151" s="6"/>
      <c r="E151" s="6"/>
      <c r="F151" s="6"/>
      <c r="H151" s="9"/>
    </row>
    <row r="152" spans="1:8" s="4" customFormat="1" ht="15">
      <c r="A152" s="7" t="s">
        <v>59</v>
      </c>
      <c r="B152" s="6"/>
      <c r="C152" s="6"/>
      <c r="D152" s="6"/>
      <c r="E152" s="6"/>
      <c r="F152" s="6"/>
      <c r="H152" s="9"/>
    </row>
    <row r="153" spans="1:8" s="4" customFormat="1" ht="15">
      <c r="A153" s="8" t="s">
        <v>35</v>
      </c>
      <c r="B153" s="6">
        <f t="shared" ref="B153:B156" si="3">0+0</f>
        <v>0</v>
      </c>
      <c r="C153" s="6">
        <f>0</f>
        <v>0</v>
      </c>
      <c r="D153" s="6">
        <f>0</f>
        <v>0</v>
      </c>
      <c r="E153" s="6">
        <f>0</f>
        <v>0</v>
      </c>
      <c r="F153" s="6">
        <f>0</f>
        <v>0</v>
      </c>
      <c r="H153" s="9"/>
    </row>
    <row r="154" spans="1:8" s="4" customFormat="1" ht="15">
      <c r="A154" s="8" t="s">
        <v>36</v>
      </c>
      <c r="B154" s="6">
        <f t="shared" si="3"/>
        <v>0</v>
      </c>
      <c r="C154" s="6">
        <f>0</f>
        <v>0</v>
      </c>
      <c r="D154" s="6">
        <f>0</f>
        <v>0</v>
      </c>
      <c r="E154" s="6">
        <f>0</f>
        <v>0</v>
      </c>
      <c r="F154" s="6">
        <f>0</f>
        <v>0</v>
      </c>
      <c r="H154" s="9"/>
    </row>
    <row r="155" spans="1:8" s="4" customFormat="1" ht="15">
      <c r="A155" s="8" t="s">
        <v>37</v>
      </c>
      <c r="B155" s="6">
        <f t="shared" si="3"/>
        <v>0</v>
      </c>
      <c r="C155" s="6">
        <f>0</f>
        <v>0</v>
      </c>
      <c r="D155" s="6">
        <f>0</f>
        <v>0</v>
      </c>
      <c r="E155" s="6">
        <f>0</f>
        <v>0</v>
      </c>
      <c r="F155" s="6">
        <f>0</f>
        <v>0</v>
      </c>
      <c r="H155" s="9"/>
    </row>
    <row r="156" spans="1:8" s="4" customFormat="1" ht="15">
      <c r="A156" s="8" t="s">
        <v>38</v>
      </c>
      <c r="B156" s="6">
        <f t="shared" si="3"/>
        <v>0</v>
      </c>
      <c r="C156" s="6">
        <f>0</f>
        <v>0</v>
      </c>
      <c r="D156" s="6">
        <f>0</f>
        <v>0</v>
      </c>
      <c r="E156" s="6">
        <f>0</f>
        <v>0</v>
      </c>
      <c r="F156" s="6">
        <f>0</f>
        <v>0</v>
      </c>
      <c r="H156" s="9"/>
    </row>
    <row r="157" spans="1:8" s="4" customFormat="1" ht="15">
      <c r="A157" s="8" t="s">
        <v>39</v>
      </c>
      <c r="B157" s="6">
        <v>0</v>
      </c>
      <c r="C157" s="6">
        <f>0</f>
        <v>0</v>
      </c>
      <c r="D157" s="6">
        <f>0</f>
        <v>0</v>
      </c>
      <c r="E157" s="6">
        <f>0</f>
        <v>0</v>
      </c>
      <c r="F157" s="6">
        <f>0</f>
        <v>0</v>
      </c>
      <c r="H157" s="9"/>
    </row>
    <row r="158" spans="1:8" s="4" customFormat="1" ht="15">
      <c r="A158" s="8" t="s">
        <v>40</v>
      </c>
      <c r="B158" s="54">
        <v>0</v>
      </c>
      <c r="C158" s="54">
        <f>0</f>
        <v>0</v>
      </c>
      <c r="D158" s="54">
        <f>0</f>
        <v>0</v>
      </c>
      <c r="E158" s="54">
        <f>0</f>
        <v>0</v>
      </c>
      <c r="F158" s="54">
        <f>0</f>
        <v>0</v>
      </c>
      <c r="H158" s="9"/>
    </row>
    <row r="159" spans="1:8" s="4" customFormat="1" ht="15">
      <c r="A159" s="8" t="s">
        <v>42</v>
      </c>
      <c r="B159" s="54">
        <f>SUM(B153:B158)</f>
        <v>0</v>
      </c>
      <c r="C159" s="54">
        <f>SUM(C153:C158)</f>
        <v>0</v>
      </c>
      <c r="D159" s="54">
        <f>SUM(D153:D158)</f>
        <v>0</v>
      </c>
      <c r="E159" s="54">
        <f>SUM(E153:E158)</f>
        <v>0</v>
      </c>
      <c r="F159" s="54">
        <f>SUM(F153:F158)</f>
        <v>0</v>
      </c>
      <c r="H159" s="9"/>
    </row>
    <row r="160" spans="1:8" s="4" customFormat="1" ht="15">
      <c r="A160" s="7"/>
      <c r="B160" s="6"/>
      <c r="C160" s="6"/>
      <c r="D160" s="6"/>
      <c r="E160" s="6"/>
      <c r="F160" s="6"/>
      <c r="H160" s="9"/>
    </row>
    <row r="161" spans="1:8" s="4" customFormat="1" ht="15">
      <c r="A161" s="7" t="s">
        <v>60</v>
      </c>
      <c r="B161" s="6"/>
      <c r="C161" s="6"/>
      <c r="D161" s="6"/>
      <c r="E161" s="6"/>
      <c r="F161" s="6"/>
      <c r="H161" s="9"/>
    </row>
    <row r="162" spans="1:8" s="4" customFormat="1" ht="15">
      <c r="A162" s="8" t="s">
        <v>35</v>
      </c>
      <c r="B162" s="6">
        <f t="shared" ref="B162:B165" si="4">0+0</f>
        <v>0</v>
      </c>
      <c r="C162" s="6">
        <f>0</f>
        <v>0</v>
      </c>
      <c r="D162" s="6">
        <f>0</f>
        <v>0</v>
      </c>
      <c r="E162" s="6">
        <f>0</f>
        <v>0</v>
      </c>
      <c r="F162" s="6">
        <f>0</f>
        <v>0</v>
      </c>
      <c r="H162" s="9"/>
    </row>
    <row r="163" spans="1:8" s="4" customFormat="1" ht="15">
      <c r="A163" s="8" t="s">
        <v>36</v>
      </c>
      <c r="B163" s="6">
        <f t="shared" si="4"/>
        <v>0</v>
      </c>
      <c r="C163" s="6">
        <f>0</f>
        <v>0</v>
      </c>
      <c r="D163" s="6">
        <f>0</f>
        <v>0</v>
      </c>
      <c r="E163" s="6">
        <f>0</f>
        <v>0</v>
      </c>
      <c r="F163" s="6">
        <f>0</f>
        <v>0</v>
      </c>
      <c r="H163" s="9"/>
    </row>
    <row r="164" spans="1:8" s="4" customFormat="1" ht="15">
      <c r="A164" s="8" t="s">
        <v>37</v>
      </c>
      <c r="B164" s="6">
        <f t="shared" si="4"/>
        <v>0</v>
      </c>
      <c r="C164" s="6">
        <f>0</f>
        <v>0</v>
      </c>
      <c r="D164" s="6">
        <f>0</f>
        <v>0</v>
      </c>
      <c r="E164" s="6">
        <f>0</f>
        <v>0</v>
      </c>
      <c r="F164" s="6">
        <f>0</f>
        <v>0</v>
      </c>
      <c r="H164" s="9"/>
    </row>
    <row r="165" spans="1:8" s="4" customFormat="1" ht="15">
      <c r="A165" s="8" t="s">
        <v>38</v>
      </c>
      <c r="B165" s="6">
        <f t="shared" si="4"/>
        <v>0</v>
      </c>
      <c r="C165" s="6">
        <f>0</f>
        <v>0</v>
      </c>
      <c r="D165" s="6">
        <f>0</f>
        <v>0</v>
      </c>
      <c r="E165" s="6">
        <f>0</f>
        <v>0</v>
      </c>
      <c r="F165" s="6">
        <f>0</f>
        <v>0</v>
      </c>
      <c r="H165" s="9"/>
    </row>
    <row r="166" spans="1:8" s="4" customFormat="1" ht="15">
      <c r="A166" s="8" t="s">
        <v>39</v>
      </c>
      <c r="B166" s="6">
        <v>0</v>
      </c>
      <c r="C166" s="6">
        <f>0</f>
        <v>0</v>
      </c>
      <c r="D166" s="6">
        <f>0</f>
        <v>0</v>
      </c>
      <c r="E166" s="6">
        <f>0</f>
        <v>0</v>
      </c>
      <c r="F166" s="6">
        <f>0</f>
        <v>0</v>
      </c>
      <c r="H166" s="9"/>
    </row>
    <row r="167" spans="1:8" s="4" customFormat="1" ht="15">
      <c r="A167" s="8" t="s">
        <v>40</v>
      </c>
      <c r="B167" s="54">
        <v>0</v>
      </c>
      <c r="C167" s="54">
        <f>0</f>
        <v>0</v>
      </c>
      <c r="D167" s="54">
        <f>0</f>
        <v>0</v>
      </c>
      <c r="E167" s="54">
        <f>0</f>
        <v>0</v>
      </c>
      <c r="F167" s="54">
        <f>0</f>
        <v>0</v>
      </c>
      <c r="H167" s="9"/>
    </row>
    <row r="168" spans="1:8" s="4" customFormat="1" ht="15">
      <c r="A168" s="8" t="s">
        <v>42</v>
      </c>
      <c r="B168" s="54">
        <f>SUM(B162:B167)</f>
        <v>0</v>
      </c>
      <c r="C168" s="54">
        <f>SUM(C162:C167)</f>
        <v>0</v>
      </c>
      <c r="D168" s="54">
        <f>SUM(D162:D167)</f>
        <v>0</v>
      </c>
      <c r="E168" s="54">
        <f>SUM(E162:E167)</f>
        <v>0</v>
      </c>
      <c r="F168" s="54">
        <f>SUM(F162:F167)</f>
        <v>0</v>
      </c>
      <c r="H168" s="9"/>
    </row>
    <row r="169" spans="1:8" s="4" customFormat="1" ht="15">
      <c r="A169" s="7"/>
      <c r="B169" s="6"/>
      <c r="C169" s="6"/>
      <c r="D169" s="6"/>
      <c r="E169" s="6"/>
      <c r="F169" s="6"/>
      <c r="H169" s="9"/>
    </row>
    <row r="170" spans="1:8" s="4" customFormat="1" ht="15">
      <c r="A170" s="41" t="s">
        <v>69</v>
      </c>
      <c r="B170" s="6"/>
      <c r="C170" s="6"/>
      <c r="D170" s="6"/>
      <c r="E170" s="6"/>
      <c r="F170" s="6"/>
      <c r="H170" s="9"/>
    </row>
    <row r="171" spans="1:8" s="4" customFormat="1" ht="15">
      <c r="A171" s="8" t="s">
        <v>35</v>
      </c>
      <c r="B171" s="6">
        <f t="shared" ref="B171:B174" si="5">0+0</f>
        <v>0</v>
      </c>
      <c r="C171" s="6">
        <f>0</f>
        <v>0</v>
      </c>
      <c r="D171" s="6">
        <f>0</f>
        <v>0</v>
      </c>
      <c r="E171" s="6">
        <f>0</f>
        <v>0</v>
      </c>
      <c r="F171" s="6">
        <f>0</f>
        <v>0</v>
      </c>
      <c r="H171" s="9"/>
    </row>
    <row r="172" spans="1:8" s="4" customFormat="1" ht="15">
      <c r="A172" s="8" t="s">
        <v>36</v>
      </c>
      <c r="B172" s="6">
        <f t="shared" si="5"/>
        <v>0</v>
      </c>
      <c r="C172" s="6">
        <f>0</f>
        <v>0</v>
      </c>
      <c r="D172" s="6">
        <f>0</f>
        <v>0</v>
      </c>
      <c r="E172" s="6">
        <f>0</f>
        <v>0</v>
      </c>
      <c r="F172" s="6">
        <f>0</f>
        <v>0</v>
      </c>
      <c r="H172" s="9"/>
    </row>
    <row r="173" spans="1:8" s="4" customFormat="1" ht="15">
      <c r="A173" s="8" t="s">
        <v>37</v>
      </c>
      <c r="B173" s="6">
        <f t="shared" si="5"/>
        <v>0</v>
      </c>
      <c r="C173" s="6">
        <f>0</f>
        <v>0</v>
      </c>
      <c r="D173" s="6">
        <f>0</f>
        <v>0</v>
      </c>
      <c r="E173" s="6">
        <f>0</f>
        <v>0</v>
      </c>
      <c r="F173" s="6">
        <f>0</f>
        <v>0</v>
      </c>
      <c r="H173" s="9"/>
    </row>
    <row r="174" spans="1:8" s="4" customFormat="1" ht="15">
      <c r="A174" s="8" t="s">
        <v>38</v>
      </c>
      <c r="B174" s="6">
        <f t="shared" si="5"/>
        <v>0</v>
      </c>
      <c r="C174" s="6">
        <f>0</f>
        <v>0</v>
      </c>
      <c r="D174" s="6">
        <f>0</f>
        <v>0</v>
      </c>
      <c r="E174" s="6">
        <f>0</f>
        <v>0</v>
      </c>
      <c r="F174" s="6">
        <f>0</f>
        <v>0</v>
      </c>
      <c r="H174" s="9"/>
    </row>
    <row r="175" spans="1:8" s="4" customFormat="1" ht="15">
      <c r="A175" s="8" t="s">
        <v>39</v>
      </c>
      <c r="B175" s="6">
        <v>0</v>
      </c>
      <c r="C175" s="6">
        <f>0</f>
        <v>0</v>
      </c>
      <c r="D175" s="6">
        <f>0</f>
        <v>0</v>
      </c>
      <c r="E175" s="6">
        <f>0</f>
        <v>0</v>
      </c>
      <c r="F175" s="6">
        <f>0</f>
        <v>0</v>
      </c>
      <c r="H175" s="9"/>
    </row>
    <row r="176" spans="1:8" s="4" customFormat="1" ht="15">
      <c r="A176" s="8" t="s">
        <v>40</v>
      </c>
      <c r="B176" s="54">
        <v>0</v>
      </c>
      <c r="C176" s="54">
        <f>0</f>
        <v>0</v>
      </c>
      <c r="D176" s="54">
        <f>0</f>
        <v>0</v>
      </c>
      <c r="E176" s="54">
        <f>0</f>
        <v>0</v>
      </c>
      <c r="F176" s="54">
        <f>0</f>
        <v>0</v>
      </c>
      <c r="H176" s="9"/>
    </row>
    <row r="177" spans="1:8" s="4" customFormat="1" ht="15">
      <c r="A177" s="8" t="s">
        <v>42</v>
      </c>
      <c r="B177" s="54">
        <f>SUM(B171:B176)</f>
        <v>0</v>
      </c>
      <c r="C177" s="54">
        <f>SUM(C171:C176)</f>
        <v>0</v>
      </c>
      <c r="D177" s="54">
        <f>SUM(D171:D176)</f>
        <v>0</v>
      </c>
      <c r="E177" s="54">
        <f>SUM(E171:E176)</f>
        <v>0</v>
      </c>
      <c r="F177" s="54">
        <f>SUM(F171:F176)</f>
        <v>0</v>
      </c>
      <c r="H177" s="9"/>
    </row>
    <row r="178" spans="1:8" s="4" customFormat="1" ht="15">
      <c r="A178" s="7"/>
      <c r="B178" s="6"/>
      <c r="C178" s="6"/>
      <c r="D178" s="6"/>
      <c r="E178" s="6"/>
      <c r="F178" s="6"/>
      <c r="H178" s="9"/>
    </row>
    <row r="179" spans="1:8" s="4" customFormat="1" ht="15">
      <c r="A179" s="41" t="s">
        <v>84</v>
      </c>
      <c r="B179" s="6"/>
      <c r="C179" s="6"/>
      <c r="D179" s="6"/>
      <c r="E179" s="6"/>
      <c r="F179" s="6"/>
      <c r="H179" s="9"/>
    </row>
    <row r="180" spans="1:8" s="4" customFormat="1" ht="15">
      <c r="A180" s="8" t="s">
        <v>35</v>
      </c>
      <c r="B180" s="6">
        <f>0+0</f>
        <v>0</v>
      </c>
      <c r="C180" s="6">
        <f>0</f>
        <v>0</v>
      </c>
      <c r="D180" s="6">
        <f>0</f>
        <v>0</v>
      </c>
      <c r="E180" s="6">
        <f>0</f>
        <v>0</v>
      </c>
      <c r="F180" s="6">
        <f>0</f>
        <v>0</v>
      </c>
      <c r="H180" s="9"/>
    </row>
    <row r="181" spans="1:8" s="4" customFormat="1" ht="15">
      <c r="A181" s="8" t="s">
        <v>36</v>
      </c>
      <c r="B181" s="6">
        <v>0</v>
      </c>
      <c r="C181" s="6">
        <f>0</f>
        <v>0</v>
      </c>
      <c r="D181" s="6">
        <f>0</f>
        <v>0</v>
      </c>
      <c r="E181" s="6">
        <f>0</f>
        <v>0</v>
      </c>
      <c r="F181" s="6">
        <f>0</f>
        <v>0</v>
      </c>
      <c r="H181" s="9"/>
    </row>
    <row r="182" spans="1:8" s="4" customFormat="1" ht="15">
      <c r="A182" s="8" t="s">
        <v>37</v>
      </c>
      <c r="B182" s="6">
        <v>0</v>
      </c>
      <c r="C182" s="6">
        <f>0</f>
        <v>0</v>
      </c>
      <c r="D182" s="6">
        <f>0</f>
        <v>0</v>
      </c>
      <c r="E182" s="6">
        <f>0</f>
        <v>0</v>
      </c>
      <c r="F182" s="6">
        <f>0</f>
        <v>0</v>
      </c>
      <c r="H182" s="9"/>
    </row>
    <row r="183" spans="1:8" s="4" customFormat="1" ht="15">
      <c r="A183" s="8" t="s">
        <v>38</v>
      </c>
      <c r="B183" s="6">
        <v>56800</v>
      </c>
      <c r="C183" s="6">
        <v>12000</v>
      </c>
      <c r="D183" s="6">
        <v>179000</v>
      </c>
      <c r="E183" s="6">
        <f>0</f>
        <v>0</v>
      </c>
      <c r="F183" s="6">
        <v>0</v>
      </c>
      <c r="H183" s="9"/>
    </row>
    <row r="184" spans="1:8" s="4" customFormat="1" ht="15">
      <c r="A184" s="8" t="s">
        <v>39</v>
      </c>
      <c r="B184" s="6">
        <v>0</v>
      </c>
      <c r="C184" s="6">
        <f>0</f>
        <v>0</v>
      </c>
      <c r="D184" s="6">
        <f>0</f>
        <v>0</v>
      </c>
      <c r="E184" s="6">
        <f>0</f>
        <v>0</v>
      </c>
      <c r="F184" s="6">
        <f>0</f>
        <v>0</v>
      </c>
      <c r="H184" s="9"/>
    </row>
    <row r="185" spans="1:8" s="4" customFormat="1" ht="15">
      <c r="A185" s="8" t="s">
        <v>40</v>
      </c>
      <c r="B185" s="54">
        <v>0</v>
      </c>
      <c r="C185" s="54">
        <f>0</f>
        <v>0</v>
      </c>
      <c r="D185" s="54">
        <f>0</f>
        <v>0</v>
      </c>
      <c r="E185" s="54">
        <f>0</f>
        <v>0</v>
      </c>
      <c r="F185" s="54">
        <f>0</f>
        <v>0</v>
      </c>
      <c r="H185" s="9"/>
    </row>
    <row r="186" spans="1:8" s="4" customFormat="1" ht="15">
      <c r="A186" s="8" t="s">
        <v>42</v>
      </c>
      <c r="B186" s="54">
        <f>SUM(B180:B185)</f>
        <v>56800</v>
      </c>
      <c r="C186" s="54">
        <f>SUM(C180:C185)</f>
        <v>12000</v>
      </c>
      <c r="D186" s="54">
        <f>SUM(D180:D185)</f>
        <v>179000</v>
      </c>
      <c r="E186" s="54">
        <f>SUM(E180:E185)</f>
        <v>0</v>
      </c>
      <c r="F186" s="54">
        <f>SUM(F180:F185)</f>
        <v>0</v>
      </c>
      <c r="H186" s="9"/>
    </row>
    <row r="187" spans="1:8" s="4" customFormat="1" ht="15">
      <c r="A187" s="7"/>
      <c r="B187" s="6"/>
      <c r="C187" s="6"/>
      <c r="D187" s="6"/>
      <c r="E187" s="6"/>
      <c r="F187" s="6"/>
      <c r="H187" s="9"/>
    </row>
    <row r="188" spans="1:8" s="4" customFormat="1" ht="15">
      <c r="A188" s="41" t="s">
        <v>82</v>
      </c>
      <c r="B188" s="6"/>
      <c r="C188" s="6"/>
      <c r="D188" s="6"/>
      <c r="E188" s="6"/>
      <c r="F188" s="6"/>
      <c r="H188" s="9"/>
    </row>
    <row r="189" spans="1:8" s="4" customFormat="1" ht="15">
      <c r="A189" s="8" t="s">
        <v>35</v>
      </c>
      <c r="B189" s="6">
        <f t="shared" ref="B189:B192" si="6">0+0</f>
        <v>0</v>
      </c>
      <c r="C189" s="6">
        <f>0</f>
        <v>0</v>
      </c>
      <c r="D189" s="6">
        <f>0</f>
        <v>0</v>
      </c>
      <c r="E189" s="6">
        <f>0</f>
        <v>0</v>
      </c>
      <c r="F189" s="6">
        <f>0</f>
        <v>0</v>
      </c>
      <c r="H189" s="9"/>
    </row>
    <row r="190" spans="1:8" s="4" customFormat="1" ht="15">
      <c r="A190" s="8" t="s">
        <v>36</v>
      </c>
      <c r="B190" s="6">
        <f t="shared" si="6"/>
        <v>0</v>
      </c>
      <c r="C190" s="6">
        <f>0</f>
        <v>0</v>
      </c>
      <c r="D190" s="6">
        <f>0</f>
        <v>0</v>
      </c>
      <c r="E190" s="6">
        <f>0</f>
        <v>0</v>
      </c>
      <c r="F190" s="6">
        <f>0</f>
        <v>0</v>
      </c>
      <c r="H190" s="9"/>
    </row>
    <row r="191" spans="1:8" s="4" customFormat="1" ht="15">
      <c r="A191" s="8" t="s">
        <v>37</v>
      </c>
      <c r="B191" s="6">
        <f t="shared" si="6"/>
        <v>0</v>
      </c>
      <c r="C191" s="6">
        <f>0</f>
        <v>0</v>
      </c>
      <c r="D191" s="6">
        <f>0</f>
        <v>0</v>
      </c>
      <c r="E191" s="6">
        <f>0</f>
        <v>0</v>
      </c>
      <c r="F191" s="6">
        <f>0</f>
        <v>0</v>
      </c>
      <c r="H191" s="9"/>
    </row>
    <row r="192" spans="1:8" s="4" customFormat="1" ht="15">
      <c r="A192" s="8" t="s">
        <v>38</v>
      </c>
      <c r="B192" s="6">
        <f t="shared" si="6"/>
        <v>0</v>
      </c>
      <c r="C192" s="6">
        <f>0</f>
        <v>0</v>
      </c>
      <c r="D192" s="6">
        <f>0</f>
        <v>0</v>
      </c>
      <c r="E192" s="6">
        <f>0</f>
        <v>0</v>
      </c>
      <c r="F192" s="6">
        <f>0</f>
        <v>0</v>
      </c>
      <c r="H192" s="9"/>
    </row>
    <row r="193" spans="1:8" s="4" customFormat="1" ht="15">
      <c r="A193" s="8" t="s">
        <v>39</v>
      </c>
      <c r="B193" s="6">
        <v>0</v>
      </c>
      <c r="C193" s="6">
        <f>0</f>
        <v>0</v>
      </c>
      <c r="D193" s="6">
        <f>0</f>
        <v>0</v>
      </c>
      <c r="E193" s="6">
        <f>0</f>
        <v>0</v>
      </c>
      <c r="F193" s="6">
        <f>0</f>
        <v>0</v>
      </c>
      <c r="H193" s="9"/>
    </row>
    <row r="194" spans="1:8" s="4" customFormat="1" ht="15">
      <c r="A194" s="8" t="s">
        <v>40</v>
      </c>
      <c r="B194" s="54">
        <v>0</v>
      </c>
      <c r="C194" s="54">
        <f>0</f>
        <v>0</v>
      </c>
      <c r="D194" s="54">
        <f>0</f>
        <v>0</v>
      </c>
      <c r="E194" s="54">
        <f>0</f>
        <v>0</v>
      </c>
      <c r="F194" s="54">
        <f>0</f>
        <v>0</v>
      </c>
      <c r="H194" s="9"/>
    </row>
    <row r="195" spans="1:8" s="4" customFormat="1" ht="15">
      <c r="A195" s="8" t="s">
        <v>42</v>
      </c>
      <c r="B195" s="54">
        <f>SUM(B189:B194)</f>
        <v>0</v>
      </c>
      <c r="C195" s="54">
        <f>SUM(C189:C194)</f>
        <v>0</v>
      </c>
      <c r="D195" s="54">
        <f>SUM(D189:D194)</f>
        <v>0</v>
      </c>
      <c r="E195" s="54">
        <f>SUM(E189:E194)</f>
        <v>0</v>
      </c>
      <c r="F195" s="54">
        <f>SUM(F189:F194)</f>
        <v>0</v>
      </c>
      <c r="H195" s="9"/>
    </row>
    <row r="196" spans="1:8" s="4" customFormat="1" ht="15">
      <c r="B196" s="6"/>
      <c r="C196" s="6"/>
      <c r="D196" s="6"/>
      <c r="E196" s="6"/>
      <c r="F196" s="6"/>
      <c r="H196" s="9"/>
    </row>
    <row r="197" spans="1:8" s="4" customFormat="1" ht="15">
      <c r="A197" s="41" t="s">
        <v>70</v>
      </c>
      <c r="B197" s="6"/>
      <c r="C197" s="6"/>
      <c r="D197" s="6"/>
      <c r="E197" s="6"/>
      <c r="F197" s="6"/>
      <c r="H197" s="9"/>
    </row>
    <row r="198" spans="1:8" s="4" customFormat="1" ht="15">
      <c r="A198" s="8" t="s">
        <v>35</v>
      </c>
      <c r="B198" s="6">
        <f t="shared" ref="B198:B201" si="7">0+0</f>
        <v>0</v>
      </c>
      <c r="C198" s="6">
        <f>0</f>
        <v>0</v>
      </c>
      <c r="D198" s="6">
        <f>0</f>
        <v>0</v>
      </c>
      <c r="E198" s="6">
        <f>0</f>
        <v>0</v>
      </c>
      <c r="F198" s="6">
        <f>0</f>
        <v>0</v>
      </c>
      <c r="H198" s="9"/>
    </row>
    <row r="199" spans="1:8" s="4" customFormat="1" ht="15">
      <c r="A199" s="8" t="s">
        <v>36</v>
      </c>
      <c r="B199" s="6">
        <f t="shared" si="7"/>
        <v>0</v>
      </c>
      <c r="C199" s="6">
        <f>0</f>
        <v>0</v>
      </c>
      <c r="D199" s="6">
        <f>0</f>
        <v>0</v>
      </c>
      <c r="E199" s="6">
        <f>0</f>
        <v>0</v>
      </c>
      <c r="F199" s="6">
        <f>0</f>
        <v>0</v>
      </c>
      <c r="H199" s="9"/>
    </row>
    <row r="200" spans="1:8" s="4" customFormat="1" ht="15">
      <c r="A200" s="8" t="s">
        <v>37</v>
      </c>
      <c r="B200" s="6">
        <f t="shared" si="7"/>
        <v>0</v>
      </c>
      <c r="C200" s="6">
        <f>0</f>
        <v>0</v>
      </c>
      <c r="D200" s="6">
        <f>0</f>
        <v>0</v>
      </c>
      <c r="E200" s="6">
        <f>0</f>
        <v>0</v>
      </c>
      <c r="F200" s="6">
        <f>0</f>
        <v>0</v>
      </c>
      <c r="H200" s="9"/>
    </row>
    <row r="201" spans="1:8" s="4" customFormat="1" ht="15">
      <c r="A201" s="8" t="s">
        <v>38</v>
      </c>
      <c r="B201" s="6">
        <f t="shared" si="7"/>
        <v>0</v>
      </c>
      <c r="C201" s="6">
        <f>0</f>
        <v>0</v>
      </c>
      <c r="D201" s="6">
        <f>0</f>
        <v>0</v>
      </c>
      <c r="E201" s="6">
        <f>0</f>
        <v>0</v>
      </c>
      <c r="F201" s="6">
        <f>0</f>
        <v>0</v>
      </c>
      <c r="H201" s="9"/>
    </row>
    <row r="202" spans="1:8" s="4" customFormat="1" ht="15">
      <c r="A202" s="8" t="s">
        <v>39</v>
      </c>
      <c r="B202" s="6">
        <v>0</v>
      </c>
      <c r="C202" s="6">
        <f>0</f>
        <v>0</v>
      </c>
      <c r="D202" s="6">
        <f>0</f>
        <v>0</v>
      </c>
      <c r="E202" s="6">
        <f>0</f>
        <v>0</v>
      </c>
      <c r="F202" s="6">
        <f>0</f>
        <v>0</v>
      </c>
      <c r="H202" s="9"/>
    </row>
    <row r="203" spans="1:8" s="4" customFormat="1" ht="15">
      <c r="A203" s="8" t="s">
        <v>40</v>
      </c>
      <c r="B203" s="54">
        <v>0</v>
      </c>
      <c r="C203" s="54">
        <f>0</f>
        <v>0</v>
      </c>
      <c r="D203" s="54">
        <f>0</f>
        <v>0</v>
      </c>
      <c r="E203" s="54">
        <f>0</f>
        <v>0</v>
      </c>
      <c r="F203" s="54">
        <f>0</f>
        <v>0</v>
      </c>
      <c r="H203" s="9"/>
    </row>
    <row r="204" spans="1:8" s="4" customFormat="1" ht="15">
      <c r="A204" s="8" t="s">
        <v>42</v>
      </c>
      <c r="B204" s="54">
        <f>SUM(B198:B203)</f>
        <v>0</v>
      </c>
      <c r="C204" s="54">
        <f>SUM(C198:C203)</f>
        <v>0</v>
      </c>
      <c r="D204" s="54">
        <f>SUM(D198:D203)</f>
        <v>0</v>
      </c>
      <c r="E204" s="54">
        <f>SUM(E198:E203)</f>
        <v>0</v>
      </c>
      <c r="F204" s="54">
        <f>SUM(F198:F203)</f>
        <v>0</v>
      </c>
      <c r="H204" s="9"/>
    </row>
    <row r="205" spans="1:8" s="4" customFormat="1" ht="15">
      <c r="B205" s="6"/>
      <c r="C205" s="6"/>
      <c r="D205" s="6"/>
      <c r="E205" s="6"/>
      <c r="F205" s="6"/>
      <c r="H205" s="9"/>
    </row>
    <row r="206" spans="1:8" s="4" customFormat="1" ht="15">
      <c r="A206" s="41" t="s">
        <v>83</v>
      </c>
      <c r="B206" s="6"/>
      <c r="C206" s="6"/>
      <c r="D206" s="6"/>
      <c r="E206" s="6"/>
      <c r="F206" s="6"/>
      <c r="H206" s="9"/>
    </row>
    <row r="207" spans="1:8" s="4" customFormat="1" ht="15">
      <c r="A207" s="8" t="s">
        <v>35</v>
      </c>
      <c r="B207" s="6">
        <f t="shared" ref="B207:B210" si="8">0+0</f>
        <v>0</v>
      </c>
      <c r="C207" s="6">
        <f>0</f>
        <v>0</v>
      </c>
      <c r="D207" s="6">
        <f>0</f>
        <v>0</v>
      </c>
      <c r="E207" s="6">
        <f>0</f>
        <v>0</v>
      </c>
      <c r="F207" s="6">
        <f>0</f>
        <v>0</v>
      </c>
      <c r="H207" s="9"/>
    </row>
    <row r="208" spans="1:8" s="4" customFormat="1" ht="15">
      <c r="A208" s="8" t="s">
        <v>36</v>
      </c>
      <c r="B208" s="6">
        <f t="shared" si="8"/>
        <v>0</v>
      </c>
      <c r="C208" s="6">
        <f>0</f>
        <v>0</v>
      </c>
      <c r="D208" s="6">
        <f>0</f>
        <v>0</v>
      </c>
      <c r="E208" s="6">
        <f>0</f>
        <v>0</v>
      </c>
      <c r="F208" s="6">
        <f>0</f>
        <v>0</v>
      </c>
      <c r="H208" s="9"/>
    </row>
    <row r="209" spans="1:8" s="4" customFormat="1" ht="15">
      <c r="A209" s="8" t="s">
        <v>37</v>
      </c>
      <c r="B209" s="6">
        <f t="shared" si="8"/>
        <v>0</v>
      </c>
      <c r="C209" s="6">
        <f>0</f>
        <v>0</v>
      </c>
      <c r="D209" s="6">
        <f>0</f>
        <v>0</v>
      </c>
      <c r="E209" s="6">
        <f>0</f>
        <v>0</v>
      </c>
      <c r="F209" s="6">
        <f>0</f>
        <v>0</v>
      </c>
      <c r="H209" s="9"/>
    </row>
    <row r="210" spans="1:8" s="4" customFormat="1" ht="15">
      <c r="A210" s="8" t="s">
        <v>38</v>
      </c>
      <c r="B210" s="6">
        <f t="shared" si="8"/>
        <v>0</v>
      </c>
      <c r="C210" s="6">
        <f>0</f>
        <v>0</v>
      </c>
      <c r="D210" s="6">
        <f>0</f>
        <v>0</v>
      </c>
      <c r="E210" s="6">
        <f>0</f>
        <v>0</v>
      </c>
      <c r="F210" s="6">
        <f>0</f>
        <v>0</v>
      </c>
      <c r="H210" s="9"/>
    </row>
    <row r="211" spans="1:8" s="4" customFormat="1" ht="15">
      <c r="A211" s="8" t="s">
        <v>39</v>
      </c>
      <c r="B211" s="6">
        <v>0</v>
      </c>
      <c r="C211" s="6">
        <f>0</f>
        <v>0</v>
      </c>
      <c r="D211" s="6">
        <f>0</f>
        <v>0</v>
      </c>
      <c r="E211" s="6">
        <f>0</f>
        <v>0</v>
      </c>
      <c r="F211" s="6">
        <f>0</f>
        <v>0</v>
      </c>
      <c r="H211" s="9"/>
    </row>
    <row r="212" spans="1:8" s="4" customFormat="1" ht="15">
      <c r="A212" s="8" t="s">
        <v>40</v>
      </c>
      <c r="B212" s="54">
        <v>0</v>
      </c>
      <c r="C212" s="54">
        <f>0</f>
        <v>0</v>
      </c>
      <c r="D212" s="54">
        <f>0</f>
        <v>0</v>
      </c>
      <c r="E212" s="54">
        <f>0</f>
        <v>0</v>
      </c>
      <c r="F212" s="54">
        <f>0</f>
        <v>0</v>
      </c>
      <c r="H212" s="9"/>
    </row>
    <row r="213" spans="1:8" s="4" customFormat="1" ht="15">
      <c r="A213" s="8" t="s">
        <v>42</v>
      </c>
      <c r="B213" s="54">
        <f>SUM(B207:B212)</f>
        <v>0</v>
      </c>
      <c r="C213" s="54">
        <f>SUM(C207:C212)</f>
        <v>0</v>
      </c>
      <c r="D213" s="54">
        <f>SUM(D207:D212)</f>
        <v>0</v>
      </c>
      <c r="E213" s="54">
        <f>SUM(E207:E212)</f>
        <v>0</v>
      </c>
      <c r="F213" s="54">
        <f>SUM(F207:F212)</f>
        <v>0</v>
      </c>
      <c r="H213" s="9"/>
    </row>
    <row r="214" spans="1:8" s="4" customFormat="1" ht="15">
      <c r="A214" s="7"/>
      <c r="B214" s="6"/>
      <c r="C214" s="6"/>
      <c r="D214" s="6"/>
      <c r="E214" s="6"/>
      <c r="F214" s="6"/>
      <c r="H214" s="9"/>
    </row>
    <row r="215" spans="1:8" s="4" customFormat="1" ht="17.25">
      <c r="A215" s="7" t="s">
        <v>23</v>
      </c>
      <c r="B215" s="20">
        <f>B15+B24+B33+B42+B51+B60+B69+B78+B87+B96+B105+B114+B123+B132+B141+B150+B159+B168+B177+B186+B195+B204+B213</f>
        <v>15641176.959999999</v>
      </c>
      <c r="C215" s="19">
        <f>C15+C24+C33+C42+C51+C60+C69+C78+C87+C96+C105+C114+C123+C132+C141+C150+C159+C168+C177+C186+C195+C204+C213-1</f>
        <v>17320897.980000004</v>
      </c>
      <c r="D215" s="19">
        <f>D15+D24+D33+D42+D51+D60+D69+D78+D87+D96+D105+D114+D123+D132+D141+D150+D159+D168+D177+D186+D195+D204+D213-1</f>
        <v>19133832</v>
      </c>
      <c r="E215" s="19">
        <f>E15+E24+E33+E42+E51+E60+E69+E78+E87+E96+E105+E114+E123+E132+E141+E150+E159+E168+E177+E186+E195+E204+E213</f>
        <v>13623173.400000002</v>
      </c>
      <c r="F215" s="19">
        <f>F15+F24+F33+F42+F51+F60+F69+F78+F87+F96+F105+F114+F123+F132+F141+F150+F159+F168+F177+F186+F195+F204+F213</f>
        <v>18814232.699999999</v>
      </c>
      <c r="H215" s="8"/>
    </row>
    <row r="216" spans="1:8" s="4" customFormat="1" ht="15">
      <c r="A216" s="8"/>
      <c r="B216" s="6"/>
      <c r="C216" s="17"/>
      <c r="D216" s="6"/>
      <c r="E216" s="6"/>
      <c r="F216" s="6"/>
      <c r="H216" s="8"/>
    </row>
    <row r="217" spans="1:8" s="4" customFormat="1" ht="15">
      <c r="A217" s="8"/>
      <c r="B217" s="6"/>
      <c r="C217" s="17"/>
      <c r="D217" s="6"/>
      <c r="E217" s="6"/>
      <c r="F217" s="6"/>
      <c r="H217" s="8"/>
    </row>
    <row r="218" spans="1:8" s="4" customFormat="1" ht="15">
      <c r="A218" s="8"/>
      <c r="B218" s="6"/>
      <c r="C218" s="17"/>
      <c r="D218" s="6"/>
      <c r="E218" s="6"/>
      <c r="F218" s="6"/>
      <c r="H218" s="8"/>
    </row>
    <row r="219" spans="1:8" s="4" customFormat="1" ht="15">
      <c r="A219" s="7" t="s">
        <v>61</v>
      </c>
      <c r="B219" s="6"/>
      <c r="C219" s="17"/>
      <c r="D219" s="6"/>
      <c r="E219" s="6"/>
      <c r="F219" s="6"/>
    </row>
    <row r="220" spans="1:8" s="4" customFormat="1" ht="15">
      <c r="A220" s="8" t="s">
        <v>35</v>
      </c>
      <c r="B220" s="6">
        <f t="shared" ref="B220:E225" si="9">B9+B18+B27+B36+B45+B54+B63+B72+B81+B90+B99+B108+B117+B126+B135+B144+B153+B162+B171+B180+B189+B198+B207</f>
        <v>2871918.2100000004</v>
      </c>
      <c r="C220" s="6">
        <f t="shared" si="9"/>
        <v>3555288.3699999996</v>
      </c>
      <c r="D220" s="6">
        <f t="shared" si="9"/>
        <v>5467648</v>
      </c>
      <c r="E220" s="6">
        <f t="shared" si="9"/>
        <v>4055115.3500000024</v>
      </c>
      <c r="F220" s="6">
        <f t="shared" ref="F220:F225" si="10">F9+F18+F27+F36+F45+F54+F63+F72+F81+F90+F99+F108+F117+F126+F135+F144+F153+F162+F171+F180+F189+F198+F207</f>
        <v>4047561.74</v>
      </c>
      <c r="H220" s="9"/>
    </row>
    <row r="221" spans="1:8" s="4" customFormat="1" ht="15">
      <c r="A221" s="8" t="s">
        <v>36</v>
      </c>
      <c r="B221" s="6">
        <f t="shared" si="9"/>
        <v>7975057.8300000001</v>
      </c>
      <c r="C221" s="6">
        <f t="shared" si="9"/>
        <v>8259988.5699999994</v>
      </c>
      <c r="D221" s="6">
        <f t="shared" si="9"/>
        <v>9616583</v>
      </c>
      <c r="E221" s="6">
        <f t="shared" si="9"/>
        <v>8886511.9100000001</v>
      </c>
      <c r="F221" s="6">
        <f t="shared" si="10"/>
        <v>10649609.640000001</v>
      </c>
      <c r="H221" s="9"/>
    </row>
    <row r="222" spans="1:8" s="4" customFormat="1" ht="15">
      <c r="A222" s="8" t="s">
        <v>37</v>
      </c>
      <c r="B222" s="6">
        <f t="shared" si="9"/>
        <v>3371573.1</v>
      </c>
      <c r="C222" s="6">
        <f t="shared" si="9"/>
        <v>4306638.3100000033</v>
      </c>
      <c r="D222" s="6">
        <f t="shared" si="9"/>
        <v>4203097</v>
      </c>
      <c r="E222" s="6">
        <f t="shared" si="9"/>
        <v>633432.19999999995</v>
      </c>
      <c r="F222" s="6">
        <f t="shared" si="10"/>
        <v>984284.39000000013</v>
      </c>
      <c r="H222" s="9"/>
    </row>
    <row r="223" spans="1:8" s="4" customFormat="1" ht="15">
      <c r="A223" s="8" t="s">
        <v>38</v>
      </c>
      <c r="B223" s="6">
        <f t="shared" si="9"/>
        <v>1403596.08</v>
      </c>
      <c r="C223" s="6">
        <f t="shared" si="9"/>
        <v>1096894.0099999998</v>
      </c>
      <c r="D223" s="6">
        <f t="shared" si="9"/>
        <v>-168459</v>
      </c>
      <c r="E223" s="6">
        <f t="shared" si="9"/>
        <v>48113.94</v>
      </c>
      <c r="F223" s="6">
        <f t="shared" si="10"/>
        <v>3023418.1799999997</v>
      </c>
      <c r="H223" s="9"/>
    </row>
    <row r="224" spans="1:8" s="4" customFormat="1" ht="15">
      <c r="A224" s="8" t="s">
        <v>39</v>
      </c>
      <c r="B224" s="6">
        <f t="shared" si="9"/>
        <v>0</v>
      </c>
      <c r="C224" s="6">
        <f t="shared" si="9"/>
        <v>0</v>
      </c>
      <c r="D224" s="6">
        <f t="shared" si="9"/>
        <v>0</v>
      </c>
      <c r="E224" s="6">
        <f t="shared" si="9"/>
        <v>0</v>
      </c>
      <c r="F224" s="6">
        <f t="shared" si="10"/>
        <v>0</v>
      </c>
      <c r="H224" s="9"/>
    </row>
    <row r="225" spans="1:8" s="4" customFormat="1" ht="17.25">
      <c r="A225" s="8" t="s">
        <v>40</v>
      </c>
      <c r="B225" s="19">
        <f t="shared" si="9"/>
        <v>19031.739999999998</v>
      </c>
      <c r="C225" s="19">
        <f t="shared" si="9"/>
        <v>102089.72</v>
      </c>
      <c r="D225" s="19">
        <f t="shared" si="9"/>
        <v>14964</v>
      </c>
      <c r="E225" s="19">
        <f t="shared" si="9"/>
        <v>0</v>
      </c>
      <c r="F225" s="6">
        <f t="shared" si="10"/>
        <v>109357.75</v>
      </c>
      <c r="H225" s="9"/>
    </row>
    <row r="226" spans="1:8" s="4" customFormat="1" ht="15">
      <c r="A226" s="8"/>
      <c r="B226" s="54"/>
      <c r="C226" s="54"/>
      <c r="D226" s="54"/>
      <c r="E226" s="54"/>
      <c r="F226" s="54"/>
      <c r="H226" s="9"/>
    </row>
    <row r="227" spans="1:8" s="4" customFormat="1" ht="15">
      <c r="A227" s="7" t="s">
        <v>23</v>
      </c>
      <c r="B227" s="54">
        <f>SUM(B220:B225)-1</f>
        <v>15641175.960000001</v>
      </c>
      <c r="C227" s="54">
        <f>SUM(C220:C225)</f>
        <v>17320898.980000004</v>
      </c>
      <c r="D227" s="54">
        <f>SUM(D220:D225)</f>
        <v>19133833</v>
      </c>
      <c r="E227" s="54">
        <f>SUM(E220:E225)</f>
        <v>13623173.4</v>
      </c>
      <c r="F227" s="54">
        <f>SUM(F220:F225)</f>
        <v>18814231.700000003</v>
      </c>
      <c r="H227" s="9"/>
    </row>
    <row r="228" spans="1:8" s="4" customFormat="1" ht="12.75" customHeight="1">
      <c r="A228" s="8"/>
      <c r="B228" s="8"/>
      <c r="C228" s="8"/>
      <c r="D228" s="8"/>
      <c r="E228" s="9"/>
      <c r="F228" s="9"/>
    </row>
    <row r="229" spans="1:8" s="4" customFormat="1" ht="12.75" customHeight="1">
      <c r="A229" s="7"/>
      <c r="B229" s="8"/>
      <c r="C229" s="8"/>
      <c r="D229" s="8"/>
      <c r="E229" s="9"/>
      <c r="F229" s="9"/>
    </row>
    <row r="230" spans="1:8" s="4" customFormat="1" ht="12.75" customHeight="1">
      <c r="A230" s="8"/>
      <c r="B230" s="8"/>
      <c r="C230" s="8"/>
      <c r="D230" s="8"/>
      <c r="E230" s="9"/>
      <c r="F230" s="9"/>
    </row>
    <row r="231" spans="1:8" s="4" customFormat="1" ht="12.75" customHeight="1">
      <c r="B231" s="3"/>
      <c r="C231" s="3"/>
      <c r="D231" s="3"/>
      <c r="E231" s="9"/>
      <c r="F231" s="9"/>
    </row>
    <row r="232" spans="1:8" s="4" customFormat="1" ht="12.75" customHeight="1">
      <c r="B232" s="3"/>
      <c r="C232" s="3"/>
      <c r="D232" s="3"/>
      <c r="E232" s="9"/>
      <c r="F232" s="9"/>
    </row>
    <row r="233" spans="1:8" s="4" customFormat="1" ht="12.75" customHeight="1">
      <c r="B233" s="8"/>
      <c r="C233" s="8"/>
      <c r="D233" s="8"/>
      <c r="E233" s="9"/>
      <c r="F233" s="9"/>
    </row>
    <row r="234" spans="1:8" s="4" customFormat="1" ht="12.75" customHeight="1">
      <c r="B234" s="8"/>
      <c r="C234" s="8"/>
      <c r="D234" s="8"/>
      <c r="E234" s="9"/>
      <c r="F234" s="9"/>
    </row>
    <row r="235" spans="1:8" s="4" customFormat="1" ht="12.75" customHeight="1">
      <c r="B235" s="8"/>
      <c r="C235" s="8"/>
      <c r="D235" s="8"/>
      <c r="E235" s="9"/>
      <c r="F235" s="9"/>
    </row>
    <row r="236" spans="1:8" s="4" customFormat="1" ht="12.75" customHeight="1">
      <c r="A236" s="8"/>
      <c r="B236" s="8"/>
      <c r="C236" s="8"/>
      <c r="D236" s="8"/>
      <c r="E236" s="9"/>
      <c r="F236" s="9"/>
    </row>
    <row r="237" spans="1:8" s="4" customFormat="1" ht="12.75" customHeight="1">
      <c r="A237" s="8"/>
      <c r="B237" s="8"/>
      <c r="C237" s="8"/>
      <c r="D237" s="8"/>
      <c r="E237" s="9"/>
      <c r="F237" s="9"/>
    </row>
    <row r="238" spans="1:8" s="4" customFormat="1" ht="12.75" customHeight="1">
      <c r="A238" s="8"/>
      <c r="B238" s="8"/>
      <c r="C238" s="8"/>
      <c r="D238" s="8"/>
      <c r="E238" s="9"/>
      <c r="F238" s="9"/>
    </row>
    <row r="239" spans="1:8" s="4" customFormat="1" ht="12.75" customHeight="1">
      <c r="A239" s="8"/>
      <c r="B239" s="8"/>
      <c r="C239" s="8"/>
      <c r="D239" s="8"/>
      <c r="E239" s="9"/>
      <c r="F239" s="9"/>
    </row>
    <row r="240" spans="1:8" s="4" customFormat="1" ht="12.75" customHeight="1">
      <c r="A240" s="8"/>
      <c r="B240" s="8"/>
      <c r="C240" s="8"/>
      <c r="D240" s="8"/>
      <c r="E240" s="9"/>
      <c r="F240" s="9"/>
    </row>
    <row r="241" spans="1:6" s="4" customFormat="1" ht="12.75" customHeight="1">
      <c r="A241" s="8"/>
      <c r="B241" s="8"/>
      <c r="C241" s="8"/>
      <c r="D241" s="8"/>
      <c r="E241" s="9"/>
      <c r="F241" s="9"/>
    </row>
    <row r="242" spans="1:6" s="4" customFormat="1" ht="12.75" customHeight="1">
      <c r="A242" s="8"/>
      <c r="B242" s="8"/>
      <c r="C242" s="8"/>
      <c r="D242" s="8"/>
      <c r="E242" s="9"/>
      <c r="F242" s="9"/>
    </row>
    <row r="243" spans="1:6" s="4" customFormat="1" ht="12.75" customHeight="1">
      <c r="A243" s="8"/>
      <c r="B243" s="8"/>
      <c r="C243" s="8"/>
      <c r="D243" s="8"/>
      <c r="E243" s="9"/>
      <c r="F243" s="9"/>
    </row>
    <row r="244" spans="1:6" s="4" customFormat="1" ht="12.75" customHeight="1">
      <c r="A244" s="8"/>
      <c r="B244" s="8"/>
      <c r="C244" s="8"/>
      <c r="D244" s="8"/>
      <c r="E244" s="9"/>
      <c r="F244" s="9"/>
    </row>
    <row r="245" spans="1:6" s="4" customFormat="1" ht="12.75" customHeight="1">
      <c r="A245" s="8"/>
      <c r="B245" s="8"/>
      <c r="C245" s="8"/>
      <c r="D245" s="8"/>
      <c r="E245" s="9"/>
      <c r="F245" s="9"/>
    </row>
    <row r="246" spans="1:6" s="4" customFormat="1" ht="12.75" customHeight="1">
      <c r="A246" s="8"/>
      <c r="B246" s="8"/>
      <c r="C246" s="8"/>
      <c r="D246" s="8"/>
      <c r="E246" s="9"/>
      <c r="F246" s="9"/>
    </row>
    <row r="247" spans="1:6" s="4" customFormat="1" ht="12.75" customHeight="1">
      <c r="A247" s="8"/>
      <c r="B247" s="8"/>
      <c r="C247" s="8"/>
      <c r="D247" s="8"/>
      <c r="E247" s="9"/>
      <c r="F247" s="9"/>
    </row>
    <row r="248" spans="1:6" s="4" customFormat="1" ht="12.75" customHeight="1">
      <c r="A248" s="8"/>
      <c r="B248" s="8"/>
      <c r="C248" s="8"/>
      <c r="D248" s="8"/>
      <c r="E248" s="9"/>
      <c r="F248" s="9"/>
    </row>
    <row r="249" spans="1:6" s="4" customFormat="1" ht="12.75" customHeight="1">
      <c r="A249" s="8"/>
      <c r="B249" s="8"/>
      <c r="C249" s="8"/>
      <c r="D249" s="8"/>
      <c r="E249" s="9"/>
      <c r="F249" s="9"/>
    </row>
    <row r="250" spans="1:6" s="4" customFormat="1" ht="12.75" customHeight="1">
      <c r="A250" s="8"/>
      <c r="B250" s="8"/>
      <c r="C250" s="8"/>
      <c r="D250" s="8"/>
      <c r="E250" s="9"/>
      <c r="F250" s="9"/>
    </row>
    <row r="251" spans="1:6" s="4" customFormat="1" ht="12.75" customHeight="1">
      <c r="A251" s="8"/>
      <c r="B251" s="8"/>
      <c r="C251" s="8"/>
      <c r="D251" s="8"/>
      <c r="E251" s="9"/>
      <c r="F251" s="9"/>
    </row>
    <row r="252" spans="1:6" s="4" customFormat="1" ht="12.75" customHeight="1">
      <c r="A252" s="3"/>
      <c r="B252" s="3"/>
      <c r="C252" s="3"/>
      <c r="D252" s="3"/>
      <c r="E252" s="9"/>
      <c r="F252" s="9"/>
    </row>
    <row r="253" spans="1:6" s="4" customFormat="1" ht="12.75" customHeight="1">
      <c r="A253" s="3"/>
      <c r="B253" s="3"/>
      <c r="C253" s="3"/>
      <c r="D253" s="3"/>
      <c r="E253" s="9"/>
      <c r="F253" s="9"/>
    </row>
    <row r="254" spans="1:6" s="4" customFormat="1" ht="12.75" customHeight="1">
      <c r="A254" s="3"/>
      <c r="B254" s="3"/>
      <c r="C254" s="3"/>
      <c r="D254" s="3"/>
      <c r="E254" s="9"/>
      <c r="F254" s="9"/>
    </row>
    <row r="255" spans="1:6" s="4" customFormat="1" ht="12.75" customHeight="1">
      <c r="A255" s="3"/>
      <c r="B255" s="3"/>
      <c r="C255" s="3"/>
      <c r="D255" s="3"/>
      <c r="E255" s="9"/>
      <c r="F255" s="9"/>
    </row>
    <row r="256" spans="1:6" s="4" customFormat="1" ht="12.75" customHeight="1">
      <c r="A256" s="8"/>
      <c r="B256" s="8"/>
      <c r="C256" s="8"/>
      <c r="D256" s="8"/>
      <c r="E256" s="9"/>
      <c r="F256" s="9"/>
    </row>
    <row r="257" spans="1:6" s="4" customFormat="1" ht="12.75" customHeight="1">
      <c r="A257" s="8"/>
      <c r="B257" s="3"/>
      <c r="C257" s="3"/>
      <c r="D257" s="3"/>
      <c r="E257" s="9"/>
      <c r="F257" s="9"/>
    </row>
    <row r="258" spans="1:6" s="4" customFormat="1" ht="12.75" customHeight="1">
      <c r="A258" s="8"/>
      <c r="B258" s="11"/>
      <c r="C258" s="11"/>
      <c r="D258" s="11"/>
      <c r="E258" s="9"/>
      <c r="F258" s="9"/>
    </row>
    <row r="259" spans="1:6" s="4" customFormat="1" ht="12.75" customHeight="1">
      <c r="A259" s="8"/>
      <c r="B259" s="8"/>
      <c r="C259" s="8"/>
      <c r="D259" s="8"/>
      <c r="E259" s="9"/>
      <c r="F259" s="9"/>
    </row>
    <row r="260" spans="1:6" s="4" customFormat="1" ht="12.75" customHeight="1">
      <c r="A260" s="8"/>
      <c r="B260" s="8"/>
      <c r="C260" s="8"/>
      <c r="D260" s="8"/>
      <c r="E260" s="9"/>
      <c r="F260" s="9"/>
    </row>
    <row r="261" spans="1:6" s="4" customFormat="1" ht="12.75" customHeight="1">
      <c r="A261" s="8"/>
      <c r="B261" s="8"/>
      <c r="C261" s="8"/>
      <c r="D261" s="8"/>
      <c r="E261" s="9"/>
      <c r="F261" s="9"/>
    </row>
    <row r="262" spans="1:6" s="4" customFormat="1" ht="12.75" customHeight="1">
      <c r="A262" s="8"/>
      <c r="B262" s="8"/>
      <c r="C262" s="8"/>
      <c r="D262" s="8"/>
      <c r="E262" s="9"/>
      <c r="F262" s="9"/>
    </row>
    <row r="263" spans="1:6" s="4" customFormat="1" ht="12.75" customHeight="1">
      <c r="A263" s="8"/>
      <c r="B263" s="8"/>
      <c r="C263" s="8"/>
      <c r="D263" s="8"/>
      <c r="E263" s="9"/>
      <c r="F263" s="9"/>
    </row>
    <row r="264" spans="1:6" s="4" customFormat="1" ht="12.75" customHeight="1">
      <c r="A264" s="8"/>
      <c r="B264" s="8"/>
      <c r="C264" s="8"/>
      <c r="D264" s="8"/>
      <c r="E264" s="8"/>
      <c r="F264" s="9"/>
    </row>
    <row r="265" spans="1:6" s="4" customFormat="1" ht="12.75" customHeight="1">
      <c r="A265" s="8"/>
      <c r="B265" s="8"/>
      <c r="C265" s="8"/>
      <c r="D265" s="8"/>
      <c r="E265" s="8"/>
      <c r="F265" s="9"/>
    </row>
    <row r="266" spans="1:6" s="4" customFormat="1" ht="12.75" customHeight="1">
      <c r="A266" s="8"/>
      <c r="B266" s="8"/>
      <c r="C266" s="8"/>
      <c r="D266" s="8"/>
      <c r="E266" s="8"/>
      <c r="F266" s="9"/>
    </row>
    <row r="267" spans="1:6" s="4" customFormat="1" ht="12.75" customHeight="1">
      <c r="A267" s="8"/>
      <c r="B267" s="8"/>
      <c r="C267" s="8"/>
      <c r="D267" s="8"/>
      <c r="E267" s="8"/>
      <c r="F267" s="9"/>
    </row>
    <row r="268" spans="1:6" s="4" customFormat="1" ht="12.75" customHeight="1">
      <c r="A268" s="8"/>
      <c r="B268" s="8"/>
      <c r="C268" s="8"/>
      <c r="D268" s="8"/>
      <c r="E268" s="8"/>
      <c r="F268" s="9"/>
    </row>
    <row r="269" spans="1:6" s="4" customFormat="1" ht="12.75" customHeight="1">
      <c r="A269" s="12"/>
      <c r="B269" s="12"/>
      <c r="C269" s="12"/>
      <c r="D269" s="12"/>
      <c r="E269" s="12"/>
      <c r="F269" s="49"/>
    </row>
    <row r="270" spans="1:6" s="4" customFormat="1" ht="12.75" customHeight="1">
      <c r="A270" s="8"/>
      <c r="B270" s="8"/>
      <c r="C270" s="8"/>
      <c r="D270" s="8"/>
      <c r="E270" s="8"/>
      <c r="F270" s="9"/>
    </row>
    <row r="271" spans="1:6" s="4" customFormat="1" ht="12.75" customHeight="1">
      <c r="A271" s="8"/>
      <c r="B271" s="8"/>
      <c r="C271" s="8"/>
      <c r="D271" s="8"/>
      <c r="E271" s="8"/>
      <c r="F271" s="9"/>
    </row>
    <row r="272" spans="1:6" s="4" customFormat="1" ht="12.75" customHeight="1">
      <c r="A272" s="8"/>
      <c r="B272" s="8"/>
      <c r="C272" s="8"/>
      <c r="D272" s="8"/>
      <c r="E272" s="8"/>
      <c r="F272" s="9"/>
    </row>
    <row r="273" spans="1:6" s="4" customFormat="1" ht="12.75" customHeight="1">
      <c r="A273" s="8"/>
      <c r="B273" s="8"/>
      <c r="C273" s="8"/>
      <c r="D273" s="8"/>
      <c r="E273" s="8"/>
      <c r="F273" s="9"/>
    </row>
    <row r="274" spans="1:6" s="4" customFormat="1" ht="12.75" customHeight="1">
      <c r="A274" s="8"/>
      <c r="B274" s="8"/>
      <c r="C274" s="8"/>
      <c r="D274" s="8"/>
      <c r="E274" s="8"/>
      <c r="F274" s="9"/>
    </row>
    <row r="275" spans="1:6" s="4" customFormat="1" ht="12.75" customHeight="1">
      <c r="A275" s="8"/>
      <c r="B275" s="8"/>
      <c r="C275" s="8"/>
      <c r="D275" s="8"/>
      <c r="E275" s="8"/>
      <c r="F275" s="9"/>
    </row>
    <row r="276" spans="1:6" s="4" customFormat="1" ht="12.75" customHeight="1">
      <c r="A276" s="8"/>
      <c r="B276" s="8"/>
      <c r="C276" s="8"/>
      <c r="D276" s="8"/>
      <c r="E276" s="8"/>
      <c r="F276" s="9"/>
    </row>
    <row r="277" spans="1:6" s="4" customFormat="1" ht="12.75" customHeight="1">
      <c r="A277" s="8"/>
      <c r="B277" s="8"/>
      <c r="C277" s="8"/>
      <c r="D277" s="8"/>
      <c r="E277" s="8"/>
      <c r="F277" s="9"/>
    </row>
    <row r="278" spans="1:6" s="4" customFormat="1" ht="12.75" customHeight="1">
      <c r="A278" s="8"/>
      <c r="B278" s="8"/>
      <c r="C278" s="8"/>
      <c r="D278" s="8"/>
      <c r="E278" s="8"/>
      <c r="F278" s="9"/>
    </row>
    <row r="279" spans="1:6" s="4" customFormat="1" ht="12.75" customHeight="1">
      <c r="A279" s="8"/>
      <c r="B279" s="8"/>
      <c r="C279" s="8"/>
      <c r="D279" s="8"/>
      <c r="E279" s="8"/>
      <c r="F279" s="9"/>
    </row>
    <row r="280" spans="1:6" s="4" customFormat="1" ht="12.75" customHeight="1">
      <c r="A280" s="8"/>
      <c r="B280" s="8"/>
      <c r="C280" s="8"/>
      <c r="D280" s="8"/>
      <c r="E280" s="8"/>
      <c r="F280" s="9"/>
    </row>
    <row r="281" spans="1:6" s="4" customFormat="1" ht="12.75" customHeight="1">
      <c r="A281" s="8"/>
      <c r="B281" s="8"/>
      <c r="C281" s="8"/>
      <c r="D281" s="8"/>
      <c r="E281" s="8"/>
      <c r="F281" s="9"/>
    </row>
    <row r="282" spans="1:6" s="4" customFormat="1" ht="12.75" customHeight="1">
      <c r="A282" s="8"/>
      <c r="B282" s="8"/>
      <c r="C282" s="8"/>
      <c r="D282" s="8"/>
      <c r="E282" s="8"/>
      <c r="F282" s="9"/>
    </row>
    <row r="283" spans="1:6" s="4" customFormat="1" ht="12.75" customHeight="1">
      <c r="A283" s="8"/>
      <c r="B283" s="8"/>
      <c r="C283" s="8"/>
      <c r="D283" s="8"/>
      <c r="E283" s="8"/>
      <c r="F283" s="9"/>
    </row>
    <row r="284" spans="1:6" s="4" customFormat="1" ht="12.75" customHeight="1">
      <c r="A284" s="8"/>
      <c r="B284" s="8"/>
      <c r="C284" s="8"/>
      <c r="D284" s="8"/>
      <c r="E284" s="8"/>
      <c r="F284" s="9"/>
    </row>
    <row r="285" spans="1:6" s="4" customFormat="1" ht="12.75" customHeight="1">
      <c r="A285" s="8"/>
      <c r="B285" s="13"/>
      <c r="C285" s="8"/>
      <c r="D285" s="8"/>
      <c r="E285" s="8"/>
      <c r="F285" s="9"/>
    </row>
    <row r="286" spans="1:6" s="4" customFormat="1" ht="12.75" customHeight="1">
      <c r="A286" s="8"/>
      <c r="B286" s="8"/>
      <c r="C286" s="8"/>
      <c r="D286" s="8"/>
      <c r="E286" s="8"/>
      <c r="F286" s="9"/>
    </row>
    <row r="287" spans="1:6" s="4" customFormat="1" ht="12.75" customHeight="1">
      <c r="A287" s="8"/>
      <c r="B287" s="13"/>
      <c r="C287" s="8"/>
      <c r="D287" s="8"/>
      <c r="E287" s="8"/>
      <c r="F287" s="9"/>
    </row>
    <row r="288" spans="1:6" s="4" customFormat="1" ht="12.75" customHeight="1">
      <c r="F288" s="48"/>
    </row>
    <row r="289" spans="6:6" s="4" customFormat="1" ht="12.75" customHeight="1">
      <c r="F289" s="48"/>
    </row>
    <row r="290" spans="6:6" s="4" customFormat="1" ht="12.75" customHeight="1">
      <c r="F290" s="48"/>
    </row>
    <row r="291" spans="6:6" s="4" customFormat="1" ht="12.75" customHeight="1">
      <c r="F291" s="48"/>
    </row>
    <row r="292" spans="6:6" s="4" customFormat="1" ht="12.75" customHeight="1">
      <c r="F292" s="48"/>
    </row>
    <row r="293" spans="6:6" s="4" customFormat="1" ht="12.75" customHeight="1">
      <c r="F293" s="48"/>
    </row>
    <row r="294" spans="6:6" s="4" customFormat="1" ht="12.75" customHeight="1">
      <c r="F294" s="48"/>
    </row>
    <row r="295" spans="6:6" s="4" customFormat="1" ht="12.75" customHeight="1">
      <c r="F295" s="48"/>
    </row>
    <row r="296" spans="6:6" s="4" customFormat="1" ht="12.75" customHeight="1">
      <c r="F296" s="48"/>
    </row>
    <row r="297" spans="6:6" s="4" customFormat="1" ht="12.75" customHeight="1">
      <c r="F297" s="48"/>
    </row>
    <row r="298" spans="6:6" s="4" customFormat="1" ht="12.75" customHeight="1">
      <c r="F298" s="48"/>
    </row>
    <row r="299" spans="6:6" s="4" customFormat="1" ht="12.75" customHeight="1">
      <c r="F299" s="48"/>
    </row>
    <row r="300" spans="6:6" s="4" customFormat="1" ht="12.75" customHeight="1">
      <c r="F300" s="48"/>
    </row>
    <row r="301" spans="6:6" s="4" customFormat="1" ht="12.75" customHeight="1">
      <c r="F301" s="48"/>
    </row>
    <row r="302" spans="6:6" s="4" customFormat="1" ht="12.75" customHeight="1">
      <c r="F302" s="48"/>
    </row>
    <row r="303" spans="6:6" s="4" customFormat="1" ht="12.75" customHeight="1">
      <c r="F303" s="48"/>
    </row>
    <row r="304" spans="6:6" s="4" customFormat="1" ht="12.75" customHeight="1">
      <c r="F304" s="48"/>
    </row>
    <row r="305" spans="6:6" s="4" customFormat="1" ht="12.75" customHeight="1">
      <c r="F305" s="48"/>
    </row>
    <row r="306" spans="6:6" s="4" customFormat="1" ht="12.75" customHeight="1">
      <c r="F306" s="48"/>
    </row>
    <row r="307" spans="6:6" s="4" customFormat="1" ht="12.75" customHeight="1">
      <c r="F307" s="48"/>
    </row>
    <row r="308" spans="6:6" s="4" customFormat="1" ht="12.75" customHeight="1">
      <c r="F308" s="48"/>
    </row>
    <row r="309" spans="6:6" s="4" customFormat="1" ht="12.75" customHeight="1">
      <c r="F309" s="48"/>
    </row>
    <row r="310" spans="6:6" s="4" customFormat="1" ht="12.75" customHeight="1">
      <c r="F310" s="48"/>
    </row>
    <row r="311" spans="6:6" s="4" customFormat="1" ht="12.75" customHeight="1">
      <c r="F311" s="48"/>
    </row>
    <row r="312" spans="6:6" s="4" customFormat="1" ht="12.75" customHeight="1">
      <c r="F312" s="48"/>
    </row>
    <row r="313" spans="6:6" s="4" customFormat="1" ht="12.75" customHeight="1">
      <c r="F313" s="48"/>
    </row>
    <row r="314" spans="6:6" s="4" customFormat="1" ht="12.75" customHeight="1">
      <c r="F314" s="48"/>
    </row>
    <row r="315" spans="6:6" s="4" customFormat="1" ht="12.75" customHeight="1">
      <c r="F315" s="48"/>
    </row>
    <row r="316" spans="6:6" s="4" customFormat="1" ht="12.75" customHeight="1">
      <c r="F316" s="48"/>
    </row>
    <row r="317" spans="6:6" s="4" customFormat="1" ht="12.75" customHeight="1">
      <c r="F317" s="48"/>
    </row>
    <row r="318" spans="6:6" s="4" customFormat="1" ht="12.75" customHeight="1">
      <c r="F318" s="48"/>
    </row>
    <row r="319" spans="6:6" s="4" customFormat="1" ht="12.75" customHeight="1">
      <c r="F319" s="48"/>
    </row>
    <row r="320" spans="6:6" s="4" customFormat="1" ht="12.75" customHeight="1">
      <c r="F320" s="48"/>
    </row>
    <row r="321" spans="6:6" s="4" customFormat="1" ht="12.75" customHeight="1">
      <c r="F321" s="48"/>
    </row>
    <row r="322" spans="6:6" s="4" customFormat="1" ht="12.75" customHeight="1">
      <c r="F322" s="48"/>
    </row>
    <row r="323" spans="6:6" s="4" customFormat="1" ht="12.75" customHeight="1">
      <c r="F323" s="48"/>
    </row>
    <row r="324" spans="6:6" s="4" customFormat="1" ht="12.75" customHeight="1">
      <c r="F324" s="48"/>
    </row>
    <row r="325" spans="6:6" s="4" customFormat="1" ht="12.75" customHeight="1">
      <c r="F325" s="48"/>
    </row>
    <row r="326" spans="6:6" s="4" customFormat="1" ht="12.75" customHeight="1">
      <c r="F326" s="48"/>
    </row>
    <row r="327" spans="6:6" s="4" customFormat="1" ht="12.75" customHeight="1">
      <c r="F327" s="48"/>
    </row>
    <row r="328" spans="6:6" s="4" customFormat="1" ht="12.75" customHeight="1">
      <c r="F328" s="48"/>
    </row>
    <row r="329" spans="6:6" s="4" customFormat="1" ht="12.75" customHeight="1">
      <c r="F329" s="48"/>
    </row>
    <row r="330" spans="6:6" s="4" customFormat="1" ht="12.75" customHeight="1">
      <c r="F330" s="48"/>
    </row>
    <row r="331" spans="6:6" s="4" customFormat="1" ht="12.75" customHeight="1">
      <c r="F331" s="48"/>
    </row>
    <row r="332" spans="6:6" s="4" customFormat="1" ht="12.75" customHeight="1">
      <c r="F332" s="48"/>
    </row>
    <row r="333" spans="6:6" s="4" customFormat="1" ht="12.75" customHeight="1">
      <c r="F333" s="48"/>
    </row>
    <row r="334" spans="6:6" s="4" customFormat="1" ht="12.75" customHeight="1">
      <c r="F334" s="48"/>
    </row>
    <row r="335" spans="6:6" s="4" customFormat="1" ht="12.75" customHeight="1">
      <c r="F335" s="48"/>
    </row>
    <row r="336" spans="6:6" s="4" customFormat="1" ht="12.75" customHeight="1">
      <c r="F336" s="48"/>
    </row>
    <row r="337" spans="6:6" s="4" customFormat="1" ht="12.75" customHeight="1">
      <c r="F337" s="48"/>
    </row>
    <row r="338" spans="6:6" s="4" customFormat="1" ht="12.75" customHeight="1">
      <c r="F338" s="48"/>
    </row>
    <row r="339" spans="6:6" s="4" customFormat="1" ht="12.75" customHeight="1">
      <c r="F339" s="48"/>
    </row>
    <row r="340" spans="6:6" s="4" customFormat="1" ht="12.75" customHeight="1">
      <c r="F340" s="48"/>
    </row>
    <row r="341" spans="6:6" s="4" customFormat="1" ht="12.75" customHeight="1">
      <c r="F341" s="48"/>
    </row>
    <row r="342" spans="6:6" s="4" customFormat="1" ht="12.75" customHeight="1">
      <c r="F342" s="48"/>
    </row>
    <row r="343" spans="6:6" s="4" customFormat="1" ht="12.75" customHeight="1">
      <c r="F343" s="48"/>
    </row>
    <row r="344" spans="6:6" s="4" customFormat="1" ht="12.75" customHeight="1">
      <c r="F344" s="48"/>
    </row>
    <row r="345" spans="6:6" s="4" customFormat="1" ht="12.75" customHeight="1">
      <c r="F345" s="48"/>
    </row>
    <row r="346" spans="6:6" s="4" customFormat="1" ht="12.75" customHeight="1">
      <c r="F346" s="48"/>
    </row>
    <row r="347" spans="6:6" s="4" customFormat="1" ht="12.75" customHeight="1">
      <c r="F347" s="48"/>
    </row>
    <row r="348" spans="6:6" s="4" customFormat="1" ht="12.75" customHeight="1">
      <c r="F348" s="48"/>
    </row>
    <row r="349" spans="6:6" s="4" customFormat="1" ht="12.75" customHeight="1">
      <c r="F349" s="48"/>
    </row>
    <row r="350" spans="6:6" s="4" customFormat="1" ht="12.75" customHeight="1">
      <c r="F350" s="48"/>
    </row>
    <row r="351" spans="6:6" s="4" customFormat="1" ht="12.75" customHeight="1">
      <c r="F351" s="48"/>
    </row>
    <row r="352" spans="6:6" s="4" customFormat="1" ht="12.75" customHeight="1">
      <c r="F352" s="48"/>
    </row>
    <row r="353" spans="6:6" s="4" customFormat="1" ht="12.75" customHeight="1">
      <c r="F353" s="48"/>
    </row>
    <row r="354" spans="6:6" s="4" customFormat="1" ht="12.75" customHeight="1">
      <c r="F354" s="48"/>
    </row>
    <row r="355" spans="6:6" s="4" customFormat="1" ht="12.75" customHeight="1">
      <c r="F355" s="48"/>
    </row>
    <row r="356" spans="6:6" s="4" customFormat="1" ht="12.75" customHeight="1">
      <c r="F356" s="48"/>
    </row>
    <row r="357" spans="6:6" s="4" customFormat="1" ht="12.75" customHeight="1">
      <c r="F357" s="48"/>
    </row>
    <row r="358" spans="6:6" s="4" customFormat="1" ht="12.75" customHeight="1">
      <c r="F358" s="48"/>
    </row>
    <row r="359" spans="6:6" s="4" customFormat="1" ht="12.75" customHeight="1">
      <c r="F359" s="48"/>
    </row>
    <row r="360" spans="6:6" s="4" customFormat="1" ht="12.75" customHeight="1">
      <c r="F360" s="48"/>
    </row>
    <row r="361" spans="6:6" s="4" customFormat="1" ht="12.75" customHeight="1">
      <c r="F361" s="48"/>
    </row>
    <row r="362" spans="6:6" s="4" customFormat="1" ht="12.75" customHeight="1">
      <c r="F362" s="48"/>
    </row>
    <row r="363" spans="6:6" s="4" customFormat="1" ht="12.75" customHeight="1">
      <c r="F363" s="48"/>
    </row>
    <row r="364" spans="6:6" s="4" customFormat="1" ht="12.75" customHeight="1">
      <c r="F364" s="48"/>
    </row>
    <row r="365" spans="6:6" s="4" customFormat="1" ht="12.75" customHeight="1">
      <c r="F365" s="48"/>
    </row>
    <row r="366" spans="6:6" s="4" customFormat="1" ht="12.75" customHeight="1">
      <c r="F366" s="48"/>
    </row>
    <row r="367" spans="6:6" s="4" customFormat="1" ht="12.75" customHeight="1">
      <c r="F367" s="48"/>
    </row>
    <row r="368" spans="6:6" s="4" customFormat="1" ht="12.75" customHeight="1">
      <c r="F368" s="48"/>
    </row>
    <row r="369" spans="6:6" s="4" customFormat="1" ht="12.75" customHeight="1">
      <c r="F369" s="48"/>
    </row>
    <row r="370" spans="6:6" s="4" customFormat="1" ht="12.75" customHeight="1">
      <c r="F370" s="48"/>
    </row>
    <row r="371" spans="6:6" s="4" customFormat="1" ht="12.75" customHeight="1">
      <c r="F371" s="48"/>
    </row>
    <row r="372" spans="6:6" s="4" customFormat="1" ht="12.75" customHeight="1">
      <c r="F372" s="48"/>
    </row>
    <row r="373" spans="6:6" s="4" customFormat="1" ht="12.75" customHeight="1">
      <c r="F373" s="48"/>
    </row>
    <row r="374" spans="6:6" s="4" customFormat="1" ht="12.75" customHeight="1">
      <c r="F374" s="48"/>
    </row>
    <row r="375" spans="6:6" s="4" customFormat="1" ht="12.75" customHeight="1">
      <c r="F375" s="48"/>
    </row>
    <row r="376" spans="6:6" s="4" customFormat="1" ht="12.75" customHeight="1">
      <c r="F376" s="48"/>
    </row>
    <row r="377" spans="6:6" s="4" customFormat="1" ht="12.75" customHeight="1">
      <c r="F377" s="48"/>
    </row>
    <row r="378" spans="6:6" s="4" customFormat="1" ht="12.75" customHeight="1">
      <c r="F378" s="48"/>
    </row>
    <row r="379" spans="6:6" s="4" customFormat="1" ht="12.75" customHeight="1">
      <c r="F379" s="48"/>
    </row>
    <row r="380" spans="6:6" s="4" customFormat="1" ht="12.75" customHeight="1">
      <c r="F380" s="48"/>
    </row>
    <row r="381" spans="6:6" s="4" customFormat="1" ht="12.75" customHeight="1">
      <c r="F381" s="48"/>
    </row>
    <row r="382" spans="6:6" s="4" customFormat="1" ht="12.75" customHeight="1">
      <c r="F382" s="48"/>
    </row>
    <row r="383" spans="6:6" s="4" customFormat="1" ht="12.75" customHeight="1">
      <c r="F383" s="48"/>
    </row>
    <row r="384" spans="6:6" s="4" customFormat="1" ht="12.75" customHeight="1">
      <c r="F384" s="48"/>
    </row>
    <row r="385" spans="6:6" s="4" customFormat="1" ht="12.75" customHeight="1">
      <c r="F385" s="48"/>
    </row>
    <row r="386" spans="6:6" s="4" customFormat="1" ht="12.75" customHeight="1">
      <c r="F386" s="48"/>
    </row>
    <row r="387" spans="6:6" s="4" customFormat="1" ht="12.75" customHeight="1">
      <c r="F387" s="48"/>
    </row>
    <row r="388" spans="6:6" s="4" customFormat="1" ht="12.75" customHeight="1">
      <c r="F388" s="48"/>
    </row>
    <row r="389" spans="6:6" s="4" customFormat="1" ht="12.75" customHeight="1">
      <c r="F389" s="48"/>
    </row>
    <row r="390" spans="6:6" s="4" customFormat="1" ht="12.75" customHeight="1">
      <c r="F390" s="48"/>
    </row>
    <row r="391" spans="6:6" s="4" customFormat="1" ht="12.75" customHeight="1">
      <c r="F391" s="48"/>
    </row>
    <row r="392" spans="6:6" s="4" customFormat="1" ht="12.75" customHeight="1">
      <c r="F392" s="48"/>
    </row>
    <row r="393" spans="6:6" s="4" customFormat="1" ht="12.75" customHeight="1">
      <c r="F393" s="48"/>
    </row>
    <row r="394" spans="6:6" s="4" customFormat="1" ht="12.75" customHeight="1">
      <c r="F394" s="48"/>
    </row>
    <row r="395" spans="6:6" s="4" customFormat="1" ht="12.75" customHeight="1">
      <c r="F395" s="48"/>
    </row>
    <row r="396" spans="6:6" s="4" customFormat="1" ht="12.75" customHeight="1">
      <c r="F396" s="48"/>
    </row>
    <row r="397" spans="6:6" s="4" customFormat="1" ht="12.75" customHeight="1">
      <c r="F397" s="48"/>
    </row>
    <row r="398" spans="6:6" s="4" customFormat="1" ht="12.75" customHeight="1">
      <c r="F398" s="48"/>
    </row>
    <row r="399" spans="6:6" s="4" customFormat="1" ht="12.75" customHeight="1">
      <c r="F399" s="48"/>
    </row>
    <row r="400" spans="6:6" s="4" customFormat="1" ht="12.75" customHeight="1">
      <c r="F400" s="48"/>
    </row>
    <row r="401" spans="6:6" s="4" customFormat="1" ht="12.75" customHeight="1">
      <c r="F401" s="48"/>
    </row>
    <row r="402" spans="6:6" s="4" customFormat="1" ht="12.75" customHeight="1">
      <c r="F402" s="48"/>
    </row>
    <row r="403" spans="6:6" s="4" customFormat="1" ht="12.75" customHeight="1">
      <c r="F403" s="48"/>
    </row>
    <row r="404" spans="6:6" s="4" customFormat="1" ht="12.75" customHeight="1">
      <c r="F404" s="48"/>
    </row>
    <row r="405" spans="6:6" s="4" customFormat="1" ht="12.75" customHeight="1">
      <c r="F405" s="48"/>
    </row>
    <row r="406" spans="6:6" s="4" customFormat="1" ht="12.75" customHeight="1">
      <c r="F406" s="48"/>
    </row>
    <row r="407" spans="6:6" s="4" customFormat="1" ht="12.75" customHeight="1">
      <c r="F407" s="48"/>
    </row>
    <row r="408" spans="6:6" s="4" customFormat="1" ht="12.75" customHeight="1">
      <c r="F408" s="48"/>
    </row>
    <row r="409" spans="6:6" s="4" customFormat="1" ht="12.75" customHeight="1">
      <c r="F409" s="48"/>
    </row>
    <row r="410" spans="6:6" s="4" customFormat="1" ht="12.75" customHeight="1">
      <c r="F410" s="48"/>
    </row>
    <row r="411" spans="6:6" s="4" customFormat="1" ht="12.75" customHeight="1">
      <c r="F411" s="48"/>
    </row>
    <row r="412" spans="6:6" s="4" customFormat="1" ht="12.75" customHeight="1">
      <c r="F412" s="48"/>
    </row>
    <row r="413" spans="6:6" s="4" customFormat="1" ht="12.75" customHeight="1">
      <c r="F413" s="48"/>
    </row>
    <row r="414" spans="6:6" s="4" customFormat="1" ht="12.75" customHeight="1">
      <c r="F414" s="48"/>
    </row>
    <row r="415" spans="6:6" s="4" customFormat="1" ht="12.75" customHeight="1">
      <c r="F415" s="48"/>
    </row>
    <row r="416" spans="6:6" s="4" customFormat="1" ht="12.75" customHeight="1">
      <c r="F416" s="48"/>
    </row>
    <row r="417" spans="6:6" s="4" customFormat="1" ht="12.75" customHeight="1">
      <c r="F417" s="48"/>
    </row>
    <row r="418" spans="6:6" s="4" customFormat="1" ht="12.75" customHeight="1">
      <c r="F418" s="48"/>
    </row>
    <row r="419" spans="6:6" s="4" customFormat="1" ht="12.75" customHeight="1">
      <c r="F419" s="48"/>
    </row>
    <row r="420" spans="6:6" s="4" customFormat="1" ht="12.75" customHeight="1">
      <c r="F420" s="48"/>
    </row>
    <row r="421" spans="6:6" s="4" customFormat="1" ht="12.75" customHeight="1">
      <c r="F421" s="48"/>
    </row>
    <row r="422" spans="6:6" s="4" customFormat="1" ht="12.75" customHeight="1">
      <c r="F422" s="48"/>
    </row>
    <row r="423" spans="6:6" s="4" customFormat="1" ht="12.75" customHeight="1">
      <c r="F423" s="48"/>
    </row>
    <row r="424" spans="6:6" s="4" customFormat="1" ht="12.75" customHeight="1">
      <c r="F424" s="48"/>
    </row>
    <row r="425" spans="6:6" s="4" customFormat="1" ht="12.75" customHeight="1">
      <c r="F425" s="48"/>
    </row>
    <row r="426" spans="6:6" s="4" customFormat="1" ht="12.75" customHeight="1">
      <c r="F426" s="48"/>
    </row>
    <row r="427" spans="6:6" s="4" customFormat="1" ht="12.75" customHeight="1">
      <c r="F427" s="48"/>
    </row>
    <row r="428" spans="6:6" s="4" customFormat="1" ht="12.75" customHeight="1">
      <c r="F428" s="48"/>
    </row>
    <row r="429" spans="6:6" s="4" customFormat="1" ht="12.75" customHeight="1">
      <c r="F429" s="48"/>
    </row>
    <row r="430" spans="6:6" s="4" customFormat="1" ht="12.75" customHeight="1">
      <c r="F430" s="48"/>
    </row>
    <row r="431" spans="6:6" s="4" customFormat="1" ht="12.75" customHeight="1">
      <c r="F431" s="48"/>
    </row>
    <row r="432" spans="6:6" s="4" customFormat="1" ht="12.75" customHeight="1">
      <c r="F432" s="48"/>
    </row>
    <row r="433" spans="6:6" s="4" customFormat="1" ht="12.75" customHeight="1">
      <c r="F433" s="48"/>
    </row>
    <row r="434" spans="6:6" s="4" customFormat="1" ht="12.75" customHeight="1">
      <c r="F434" s="48"/>
    </row>
    <row r="435" spans="6:6" s="4" customFormat="1" ht="12.75" customHeight="1">
      <c r="F435" s="48"/>
    </row>
    <row r="436" spans="6:6" s="4" customFormat="1" ht="12.75" customHeight="1">
      <c r="F436" s="48"/>
    </row>
    <row r="437" spans="6:6" s="4" customFormat="1" ht="12.75" customHeight="1">
      <c r="F437" s="48"/>
    </row>
    <row r="438" spans="6:6" s="4" customFormat="1" ht="12.75" customHeight="1">
      <c r="F438" s="48"/>
    </row>
    <row r="439" spans="6:6" s="4" customFormat="1" ht="12.75" customHeight="1">
      <c r="F439" s="48"/>
    </row>
    <row r="440" spans="6:6" s="4" customFormat="1" ht="12.75" customHeight="1">
      <c r="F440" s="48"/>
    </row>
    <row r="441" spans="6:6" s="4" customFormat="1" ht="12.75" customHeight="1">
      <c r="F441" s="48"/>
    </row>
    <row r="442" spans="6:6" s="4" customFormat="1" ht="12.75" customHeight="1">
      <c r="F442" s="48"/>
    </row>
    <row r="443" spans="6:6" s="4" customFormat="1" ht="12.75" customHeight="1">
      <c r="F443" s="48"/>
    </row>
    <row r="444" spans="6:6" s="4" customFormat="1" ht="12.75" customHeight="1">
      <c r="F444" s="48"/>
    </row>
    <row r="445" spans="6:6" s="4" customFormat="1" ht="12.75" customHeight="1">
      <c r="F445" s="48"/>
    </row>
    <row r="446" spans="6:6" s="4" customFormat="1" ht="12.75" customHeight="1">
      <c r="F446" s="48"/>
    </row>
    <row r="447" spans="6:6" s="4" customFormat="1" ht="12.75" customHeight="1">
      <c r="F447" s="48"/>
    </row>
    <row r="448" spans="6:6" s="4" customFormat="1" ht="12.75" customHeight="1">
      <c r="F448" s="48"/>
    </row>
    <row r="449" spans="6:6" s="4" customFormat="1" ht="12.75" customHeight="1">
      <c r="F449" s="48"/>
    </row>
    <row r="450" spans="6:6" s="4" customFormat="1" ht="12.75" customHeight="1">
      <c r="F450" s="48"/>
    </row>
    <row r="451" spans="6:6" s="4" customFormat="1" ht="12.75" customHeight="1">
      <c r="F451" s="48"/>
    </row>
    <row r="452" spans="6:6" s="4" customFormat="1" ht="12.75" customHeight="1">
      <c r="F452" s="48"/>
    </row>
    <row r="453" spans="6:6" s="4" customFormat="1" ht="12.75" customHeight="1">
      <c r="F453" s="48"/>
    </row>
    <row r="454" spans="6:6" s="4" customFormat="1" ht="12.75" customHeight="1">
      <c r="F454" s="48"/>
    </row>
    <row r="455" spans="6:6" s="4" customFormat="1" ht="12.75" customHeight="1">
      <c r="F455" s="48"/>
    </row>
    <row r="456" spans="6:6" s="4" customFormat="1" ht="12.75" customHeight="1">
      <c r="F456" s="48"/>
    </row>
    <row r="457" spans="6:6" s="4" customFormat="1" ht="12.75" customHeight="1">
      <c r="F457" s="48"/>
    </row>
    <row r="458" spans="6:6" s="4" customFormat="1" ht="12.75" customHeight="1">
      <c r="F458" s="48"/>
    </row>
    <row r="459" spans="6:6" s="4" customFormat="1" ht="12.75" customHeight="1">
      <c r="F459" s="48"/>
    </row>
    <row r="460" spans="6:6" s="4" customFormat="1" ht="12.75" customHeight="1">
      <c r="F460" s="48"/>
    </row>
    <row r="461" spans="6:6" s="4" customFormat="1" ht="12.75" customHeight="1">
      <c r="F461" s="48"/>
    </row>
    <row r="462" spans="6:6" s="4" customFormat="1" ht="12.75" customHeight="1">
      <c r="F462" s="48"/>
    </row>
    <row r="463" spans="6:6" s="4" customFormat="1" ht="12.75" customHeight="1">
      <c r="F463" s="48"/>
    </row>
    <row r="464" spans="6:6" s="4" customFormat="1" ht="12.75" customHeight="1">
      <c r="F464" s="48"/>
    </row>
    <row r="465" spans="6:6" s="4" customFormat="1" ht="12.75" customHeight="1">
      <c r="F465" s="48"/>
    </row>
    <row r="466" spans="6:6" s="4" customFormat="1" ht="12.75" customHeight="1">
      <c r="F466" s="48"/>
    </row>
    <row r="467" spans="6:6" s="4" customFormat="1" ht="12.75" customHeight="1">
      <c r="F467" s="48"/>
    </row>
    <row r="468" spans="6:6" s="4" customFormat="1" ht="12.75" customHeight="1">
      <c r="F468" s="48"/>
    </row>
    <row r="469" spans="6:6" s="4" customFormat="1" ht="12.75" customHeight="1">
      <c r="F469" s="48"/>
    </row>
    <row r="470" spans="6:6" s="4" customFormat="1" ht="12.75" customHeight="1">
      <c r="F470" s="48"/>
    </row>
    <row r="471" spans="6:6" s="4" customFormat="1" ht="12.75" customHeight="1">
      <c r="F471" s="48"/>
    </row>
    <row r="472" spans="6:6" s="4" customFormat="1" ht="12.75" customHeight="1">
      <c r="F472" s="48"/>
    </row>
    <row r="473" spans="6:6" s="4" customFormat="1" ht="12.75" customHeight="1">
      <c r="F473" s="48"/>
    </row>
    <row r="474" spans="6:6" s="4" customFormat="1" ht="12.75" customHeight="1">
      <c r="F474" s="48"/>
    </row>
    <row r="475" spans="6:6" s="4" customFormat="1" ht="12.75" customHeight="1">
      <c r="F475" s="48"/>
    </row>
    <row r="476" spans="6:6" s="4" customFormat="1" ht="12.75" customHeight="1">
      <c r="F476" s="48"/>
    </row>
    <row r="477" spans="6:6" s="4" customFormat="1" ht="12.75" customHeight="1">
      <c r="F477" s="48"/>
    </row>
    <row r="478" spans="6:6" s="4" customFormat="1" ht="12.75" customHeight="1">
      <c r="F478" s="48"/>
    </row>
    <row r="479" spans="6:6" s="4" customFormat="1" ht="12.75" customHeight="1">
      <c r="F479" s="48"/>
    </row>
    <row r="480" spans="6:6" s="4" customFormat="1" ht="12.75" customHeight="1">
      <c r="F480" s="48"/>
    </row>
    <row r="481" spans="6:6" s="4" customFormat="1" ht="12.75" customHeight="1">
      <c r="F481" s="48"/>
    </row>
    <row r="482" spans="6:6" s="4" customFormat="1" ht="12.75" customHeight="1">
      <c r="F482" s="48"/>
    </row>
    <row r="483" spans="6:6" s="4" customFormat="1" ht="12.75" customHeight="1">
      <c r="F483" s="48"/>
    </row>
    <row r="484" spans="6:6" s="4" customFormat="1" ht="12.75" customHeight="1">
      <c r="F484" s="48"/>
    </row>
    <row r="485" spans="6:6" s="4" customFormat="1" ht="12.75" customHeight="1">
      <c r="F485" s="48"/>
    </row>
    <row r="486" spans="6:6" s="4" customFormat="1" ht="12.75" customHeight="1">
      <c r="F486" s="48"/>
    </row>
    <row r="487" spans="6:6" s="4" customFormat="1" ht="12.75" customHeight="1">
      <c r="F487" s="48"/>
    </row>
    <row r="488" spans="6:6" s="4" customFormat="1" ht="12.75" customHeight="1">
      <c r="F488" s="48"/>
    </row>
    <row r="489" spans="6:6" s="4" customFormat="1" ht="12.75" customHeight="1">
      <c r="F489" s="48"/>
    </row>
    <row r="490" spans="6:6" s="4" customFormat="1" ht="12.75" customHeight="1">
      <c r="F490" s="48"/>
    </row>
    <row r="491" spans="6:6" s="4" customFormat="1" ht="12.75" customHeight="1">
      <c r="F491" s="48"/>
    </row>
    <row r="492" spans="6:6" s="4" customFormat="1" ht="12.75" customHeight="1">
      <c r="F492" s="48"/>
    </row>
    <row r="493" spans="6:6" s="4" customFormat="1" ht="12.75" customHeight="1">
      <c r="F493" s="48"/>
    </row>
    <row r="494" spans="6:6" s="4" customFormat="1" ht="12.75" customHeight="1">
      <c r="F494" s="48"/>
    </row>
    <row r="495" spans="6:6" s="4" customFormat="1" ht="12.75" customHeight="1">
      <c r="F495" s="48"/>
    </row>
    <row r="496" spans="6:6" s="4" customFormat="1" ht="12.75" customHeight="1">
      <c r="F496" s="48"/>
    </row>
    <row r="497" spans="6:6" s="4" customFormat="1" ht="12.75" customHeight="1">
      <c r="F497" s="48"/>
    </row>
    <row r="498" spans="6:6" s="4" customFormat="1" ht="12.75" customHeight="1">
      <c r="F498" s="48"/>
    </row>
    <row r="499" spans="6:6" s="4" customFormat="1" ht="12.75" customHeight="1">
      <c r="F499" s="48"/>
    </row>
    <row r="500" spans="6:6" s="4" customFormat="1" ht="12.75" customHeight="1">
      <c r="F500" s="48"/>
    </row>
    <row r="501" spans="6:6" s="4" customFormat="1" ht="12.75" customHeight="1">
      <c r="F501" s="48"/>
    </row>
    <row r="502" spans="6:6" s="4" customFormat="1" ht="12.75" customHeight="1">
      <c r="F502" s="48"/>
    </row>
    <row r="503" spans="6:6" s="4" customFormat="1" ht="12.75" customHeight="1">
      <c r="F503" s="48"/>
    </row>
    <row r="504" spans="6:6" s="4" customFormat="1" ht="12.75" customHeight="1">
      <c r="F504" s="48"/>
    </row>
    <row r="505" spans="6:6" s="4" customFormat="1" ht="12.75" customHeight="1">
      <c r="F505" s="48"/>
    </row>
    <row r="506" spans="6:6" s="4" customFormat="1" ht="12.75" customHeight="1">
      <c r="F506" s="48"/>
    </row>
    <row r="507" spans="6:6" s="4" customFormat="1" ht="12.75" customHeight="1">
      <c r="F507" s="48"/>
    </row>
    <row r="508" spans="6:6" s="4" customFormat="1" ht="12.75" customHeight="1">
      <c r="F508" s="48"/>
    </row>
    <row r="509" spans="6:6" s="4" customFormat="1" ht="12.75" customHeight="1">
      <c r="F509" s="48"/>
    </row>
    <row r="510" spans="6:6" s="4" customFormat="1" ht="12.75" customHeight="1">
      <c r="F510" s="48"/>
    </row>
    <row r="511" spans="6:6" s="4" customFormat="1" ht="12.75" customHeight="1">
      <c r="F511" s="48"/>
    </row>
    <row r="512" spans="6:6" s="4" customFormat="1" ht="12.75" customHeight="1">
      <c r="F512" s="48"/>
    </row>
    <row r="513" spans="6:6" s="4" customFormat="1" ht="12.75" customHeight="1">
      <c r="F513" s="48"/>
    </row>
    <row r="514" spans="6:6" s="4" customFormat="1" ht="12.75" customHeight="1">
      <c r="F514" s="48"/>
    </row>
    <row r="515" spans="6:6" s="4" customFormat="1" ht="12.75" customHeight="1">
      <c r="F515" s="48"/>
    </row>
    <row r="516" spans="6:6" s="4" customFormat="1" ht="12.75" customHeight="1">
      <c r="F516" s="48"/>
    </row>
    <row r="517" spans="6:6" s="4" customFormat="1" ht="12.75" customHeight="1">
      <c r="F517" s="48"/>
    </row>
    <row r="518" spans="6:6" s="4" customFormat="1" ht="12.75" customHeight="1">
      <c r="F518" s="48"/>
    </row>
    <row r="519" spans="6:6" s="4" customFormat="1" ht="12.75" customHeight="1">
      <c r="F519" s="48"/>
    </row>
    <row r="520" spans="6:6" s="4" customFormat="1" ht="12.75" customHeight="1">
      <c r="F520" s="48"/>
    </row>
    <row r="521" spans="6:6" s="4" customFormat="1" ht="12.75" customHeight="1">
      <c r="F521" s="48"/>
    </row>
    <row r="522" spans="6:6" s="4" customFormat="1" ht="12.75" customHeight="1">
      <c r="F522" s="48"/>
    </row>
    <row r="523" spans="6:6" s="4" customFormat="1" ht="12.75" customHeight="1">
      <c r="F523" s="48"/>
    </row>
    <row r="524" spans="6:6" s="4" customFormat="1" ht="12.75" customHeight="1">
      <c r="F524" s="48"/>
    </row>
    <row r="525" spans="6:6" s="4" customFormat="1" ht="12.75" customHeight="1">
      <c r="F525" s="48"/>
    </row>
    <row r="526" spans="6:6" s="4" customFormat="1" ht="12.75" customHeight="1">
      <c r="F526" s="48"/>
    </row>
    <row r="527" spans="6:6" s="4" customFormat="1" ht="12.75" customHeight="1">
      <c r="F527" s="48"/>
    </row>
    <row r="528" spans="6:6" s="4" customFormat="1" ht="12.75" customHeight="1">
      <c r="F528" s="48"/>
    </row>
    <row r="529" spans="6:6" s="4" customFormat="1" ht="12.75" customHeight="1">
      <c r="F529" s="48"/>
    </row>
    <row r="530" spans="6:6" s="4" customFormat="1" ht="12.75" customHeight="1">
      <c r="F530" s="48"/>
    </row>
    <row r="531" spans="6:6" s="4" customFormat="1" ht="12.75" customHeight="1">
      <c r="F531" s="48"/>
    </row>
    <row r="532" spans="6:6" s="4" customFormat="1" ht="12.75" customHeight="1">
      <c r="F532" s="48"/>
    </row>
    <row r="533" spans="6:6" s="4" customFormat="1" ht="12.75" customHeight="1">
      <c r="F533" s="48"/>
    </row>
    <row r="534" spans="6:6" s="4" customFormat="1" ht="12.75" customHeight="1">
      <c r="F534" s="48"/>
    </row>
    <row r="535" spans="6:6" s="4" customFormat="1" ht="12.75" customHeight="1">
      <c r="F535" s="48"/>
    </row>
    <row r="536" spans="6:6" s="4" customFormat="1" ht="12.75" customHeight="1">
      <c r="F536" s="48"/>
    </row>
    <row r="537" spans="6:6" s="4" customFormat="1" ht="12.75" customHeight="1">
      <c r="F537" s="48"/>
    </row>
    <row r="538" spans="6:6" s="4" customFormat="1" ht="12.75" customHeight="1">
      <c r="F538" s="48"/>
    </row>
    <row r="539" spans="6:6" s="4" customFormat="1" ht="12.75" customHeight="1">
      <c r="F539" s="48"/>
    </row>
    <row r="540" spans="6:6" s="4" customFormat="1" ht="12.75" customHeight="1">
      <c r="F540" s="48"/>
    </row>
    <row r="541" spans="6:6" s="4" customFormat="1" ht="12.75" customHeight="1">
      <c r="F541" s="48"/>
    </row>
    <row r="542" spans="6:6" s="4" customFormat="1" ht="12.75" customHeight="1">
      <c r="F542" s="48"/>
    </row>
    <row r="543" spans="6:6" s="4" customFormat="1" ht="12.75" customHeight="1">
      <c r="F543" s="48"/>
    </row>
    <row r="544" spans="6:6" s="4" customFormat="1" ht="12.75" customHeight="1">
      <c r="F544" s="48"/>
    </row>
    <row r="545" spans="6:6" s="4" customFormat="1" ht="12.75" customHeight="1">
      <c r="F545" s="48"/>
    </row>
    <row r="546" spans="6:6" s="4" customFormat="1" ht="12.75" customHeight="1">
      <c r="F546" s="48"/>
    </row>
    <row r="547" spans="6:6" s="4" customFormat="1" ht="12.75" customHeight="1">
      <c r="F547" s="48"/>
    </row>
    <row r="548" spans="6:6" s="4" customFormat="1" ht="12.75" customHeight="1">
      <c r="F548" s="48"/>
    </row>
    <row r="549" spans="6:6" s="4" customFormat="1" ht="12.75" customHeight="1">
      <c r="F549" s="48"/>
    </row>
    <row r="550" spans="6:6" s="4" customFormat="1" ht="12.75" customHeight="1">
      <c r="F550" s="48"/>
    </row>
    <row r="551" spans="6:6" s="4" customFormat="1" ht="12.75" customHeight="1">
      <c r="F551" s="48"/>
    </row>
    <row r="552" spans="6:6" s="4" customFormat="1" ht="12.75" customHeight="1">
      <c r="F552" s="48"/>
    </row>
    <row r="553" spans="6:6" s="4" customFormat="1" ht="12.75" customHeight="1">
      <c r="F553" s="48"/>
    </row>
    <row r="554" spans="6:6" s="4" customFormat="1" ht="12.75" customHeight="1">
      <c r="F554" s="48"/>
    </row>
    <row r="555" spans="6:6" s="4" customFormat="1" ht="12.75" customHeight="1">
      <c r="F555" s="48"/>
    </row>
    <row r="556" spans="6:6" s="4" customFormat="1" ht="12.75" customHeight="1">
      <c r="F556" s="48"/>
    </row>
    <row r="557" spans="6:6" s="4" customFormat="1" ht="12.75" customHeight="1">
      <c r="F557" s="48"/>
    </row>
    <row r="558" spans="6:6" s="4" customFormat="1" ht="12.75" customHeight="1">
      <c r="F558" s="48"/>
    </row>
    <row r="559" spans="6:6" s="4" customFormat="1" ht="12.75" customHeight="1">
      <c r="F559" s="48"/>
    </row>
    <row r="560" spans="6:6" s="4" customFormat="1" ht="12.75" customHeight="1">
      <c r="F560" s="48"/>
    </row>
    <row r="561" spans="6:6" s="4" customFormat="1" ht="12.75" customHeight="1">
      <c r="F561" s="48"/>
    </row>
    <row r="562" spans="6:6" s="4" customFormat="1" ht="12.75" customHeight="1">
      <c r="F562" s="48"/>
    </row>
    <row r="563" spans="6:6" s="4" customFormat="1" ht="12.75" customHeight="1">
      <c r="F563" s="48"/>
    </row>
    <row r="564" spans="6:6" s="4" customFormat="1" ht="12.75" customHeight="1">
      <c r="F564" s="48"/>
    </row>
    <row r="565" spans="6:6" s="4" customFormat="1" ht="12.75" customHeight="1">
      <c r="F565" s="48"/>
    </row>
    <row r="566" spans="6:6" s="4" customFormat="1" ht="12.75" customHeight="1">
      <c r="F566" s="48"/>
    </row>
    <row r="567" spans="6:6" s="4" customFormat="1" ht="12.75" customHeight="1">
      <c r="F567" s="48"/>
    </row>
    <row r="568" spans="6:6" s="4" customFormat="1" ht="12.75" customHeight="1">
      <c r="F568" s="48"/>
    </row>
    <row r="569" spans="6:6" s="4" customFormat="1" ht="12.75" customHeight="1">
      <c r="F569" s="48"/>
    </row>
    <row r="570" spans="6:6" s="4" customFormat="1" ht="12.75" customHeight="1">
      <c r="F570" s="48"/>
    </row>
    <row r="571" spans="6:6" s="4" customFormat="1" ht="12.75" customHeight="1">
      <c r="F571" s="48"/>
    </row>
    <row r="572" spans="6:6" s="4" customFormat="1" ht="12.75" customHeight="1">
      <c r="F572" s="48"/>
    </row>
    <row r="573" spans="6:6" s="4" customFormat="1" ht="12.75" customHeight="1">
      <c r="F573" s="48"/>
    </row>
    <row r="574" spans="6:6" s="4" customFormat="1" ht="12.75" customHeight="1">
      <c r="F574" s="48"/>
    </row>
    <row r="575" spans="6:6" s="4" customFormat="1" ht="12.75" customHeight="1">
      <c r="F575" s="48"/>
    </row>
    <row r="576" spans="6:6" s="4" customFormat="1" ht="12.75" customHeight="1">
      <c r="F576" s="48"/>
    </row>
    <row r="577" spans="6:6" s="4" customFormat="1" ht="12.75" customHeight="1">
      <c r="F577" s="48"/>
    </row>
    <row r="578" spans="6:6" s="4" customFormat="1" ht="12.75" customHeight="1">
      <c r="F578" s="48"/>
    </row>
    <row r="579" spans="6:6" s="4" customFormat="1" ht="12.75" customHeight="1">
      <c r="F579" s="48"/>
    </row>
    <row r="580" spans="6:6" s="4" customFormat="1" ht="12.75" customHeight="1">
      <c r="F580" s="48"/>
    </row>
    <row r="581" spans="6:6" s="4" customFormat="1" ht="12.75" customHeight="1">
      <c r="F581" s="48"/>
    </row>
    <row r="582" spans="6:6" s="4" customFormat="1" ht="12.75" customHeight="1">
      <c r="F582" s="48"/>
    </row>
    <row r="583" spans="6:6" s="4" customFormat="1" ht="12.75" customHeight="1">
      <c r="F583" s="48"/>
    </row>
    <row r="584" spans="6:6" s="4" customFormat="1" ht="12.75" customHeight="1">
      <c r="F584" s="48"/>
    </row>
    <row r="585" spans="6:6" s="4" customFormat="1" ht="12.75" customHeight="1">
      <c r="F585" s="48"/>
    </row>
    <row r="586" spans="6:6" s="4" customFormat="1" ht="12.75" customHeight="1">
      <c r="F586" s="48"/>
    </row>
    <row r="587" spans="6:6" s="4" customFormat="1" ht="12.75" customHeight="1">
      <c r="F587" s="48"/>
    </row>
    <row r="588" spans="6:6" s="4" customFormat="1" ht="12.75" customHeight="1">
      <c r="F588" s="48"/>
    </row>
    <row r="589" spans="6:6" s="4" customFormat="1" ht="12.75" customHeight="1">
      <c r="F589" s="48"/>
    </row>
    <row r="590" spans="6:6" s="4" customFormat="1" ht="12.75" customHeight="1">
      <c r="F590" s="48"/>
    </row>
    <row r="591" spans="6:6" s="4" customFormat="1" ht="12.75" customHeight="1">
      <c r="F591" s="48"/>
    </row>
    <row r="592" spans="6:6" s="4" customFormat="1" ht="12.75" customHeight="1">
      <c r="F592" s="48"/>
    </row>
    <row r="593" spans="6:6" s="4" customFormat="1" ht="12.75" customHeight="1">
      <c r="F593" s="48"/>
    </row>
    <row r="594" spans="6:6" s="4" customFormat="1" ht="12.75" customHeight="1">
      <c r="F594" s="48"/>
    </row>
    <row r="595" spans="6:6" s="4" customFormat="1" ht="12.75" customHeight="1">
      <c r="F595" s="48"/>
    </row>
    <row r="596" spans="6:6" s="4" customFormat="1" ht="12.75" customHeight="1">
      <c r="F596" s="48"/>
    </row>
    <row r="597" spans="6:6" s="4" customFormat="1" ht="12.75" customHeight="1">
      <c r="F597" s="48"/>
    </row>
    <row r="598" spans="6:6" s="4" customFormat="1" ht="12.75" customHeight="1">
      <c r="F598" s="48"/>
    </row>
    <row r="599" spans="6:6" s="4" customFormat="1" ht="12.75" customHeight="1">
      <c r="F599" s="48"/>
    </row>
    <row r="600" spans="6:6" s="4" customFormat="1" ht="12.75" customHeight="1">
      <c r="F600" s="48"/>
    </row>
    <row r="601" spans="6:6" s="4" customFormat="1" ht="12.75" customHeight="1">
      <c r="F601" s="48"/>
    </row>
    <row r="602" spans="6:6" s="4" customFormat="1" ht="12.75" customHeight="1">
      <c r="F602" s="48"/>
    </row>
    <row r="603" spans="6:6" s="4" customFormat="1" ht="12.75" customHeight="1">
      <c r="F603" s="48"/>
    </row>
    <row r="604" spans="6:6" s="4" customFormat="1" ht="12.75" customHeight="1">
      <c r="F604" s="48"/>
    </row>
    <row r="605" spans="6:6" s="4" customFormat="1" ht="12.75" customHeight="1">
      <c r="F605" s="48"/>
    </row>
    <row r="606" spans="6:6" s="4" customFormat="1" ht="12.75" customHeight="1">
      <c r="F606" s="48"/>
    </row>
    <row r="607" spans="6:6" s="4" customFormat="1" ht="12.75" customHeight="1">
      <c r="F607" s="48"/>
    </row>
    <row r="608" spans="6:6" s="4" customFormat="1" ht="12.75" customHeight="1">
      <c r="F608" s="48"/>
    </row>
    <row r="609" spans="6:6" s="4" customFormat="1" ht="12.75" customHeight="1">
      <c r="F609" s="48"/>
    </row>
    <row r="610" spans="6:6" s="4" customFormat="1" ht="12.75" customHeight="1">
      <c r="F610" s="48"/>
    </row>
    <row r="611" spans="6:6" s="4" customFormat="1" ht="12.75" customHeight="1">
      <c r="F611" s="48"/>
    </row>
    <row r="612" spans="6:6" s="4" customFormat="1" ht="12.75" customHeight="1">
      <c r="F612" s="48"/>
    </row>
    <row r="613" spans="6:6" s="4" customFormat="1" ht="12.75" customHeight="1">
      <c r="F613" s="48"/>
    </row>
    <row r="614" spans="6:6" s="4" customFormat="1" ht="12.75" customHeight="1">
      <c r="F614" s="48"/>
    </row>
    <row r="615" spans="6:6" s="4" customFormat="1" ht="12.75" customHeight="1">
      <c r="F615" s="48"/>
    </row>
    <row r="616" spans="6:6" s="4" customFormat="1" ht="12.75" customHeight="1">
      <c r="F616" s="48"/>
    </row>
    <row r="617" spans="6:6" s="4" customFormat="1" ht="12.75" customHeight="1">
      <c r="F617" s="48"/>
    </row>
    <row r="618" spans="6:6" s="4" customFormat="1" ht="12.75" customHeight="1">
      <c r="F618" s="48"/>
    </row>
    <row r="619" spans="6:6" s="4" customFormat="1" ht="12.75" customHeight="1">
      <c r="F619" s="48"/>
    </row>
    <row r="620" spans="6:6" s="4" customFormat="1" ht="12.75" customHeight="1">
      <c r="F620" s="48"/>
    </row>
    <row r="621" spans="6:6" s="4" customFormat="1" ht="12.75" customHeight="1">
      <c r="F621" s="48"/>
    </row>
    <row r="622" spans="6:6" s="4" customFormat="1" ht="12.75" customHeight="1">
      <c r="F622" s="48"/>
    </row>
    <row r="623" spans="6:6" s="4" customFormat="1" ht="12.75" customHeight="1">
      <c r="F623" s="48"/>
    </row>
    <row r="624" spans="6:6" s="4" customFormat="1" ht="12.75" customHeight="1">
      <c r="F624" s="48"/>
    </row>
    <row r="625" spans="6:6" s="4" customFormat="1" ht="12.75" customHeight="1">
      <c r="F625" s="48"/>
    </row>
    <row r="626" spans="6:6" s="4" customFormat="1" ht="12.75" customHeight="1">
      <c r="F626" s="48"/>
    </row>
    <row r="627" spans="6:6" s="4" customFormat="1" ht="12.75" customHeight="1">
      <c r="F627" s="48"/>
    </row>
    <row r="628" spans="6:6" s="4" customFormat="1" ht="12.75" customHeight="1">
      <c r="F628" s="48"/>
    </row>
    <row r="629" spans="6:6" s="4" customFormat="1" ht="12.75" customHeight="1">
      <c r="F629" s="48"/>
    </row>
    <row r="630" spans="6:6" s="4" customFormat="1" ht="12.75" customHeight="1">
      <c r="F630" s="48"/>
    </row>
    <row r="631" spans="6:6" s="4" customFormat="1" ht="12.75" customHeight="1">
      <c r="F631" s="48"/>
    </row>
    <row r="632" spans="6:6" s="4" customFormat="1" ht="12.75" customHeight="1">
      <c r="F632" s="48"/>
    </row>
    <row r="633" spans="6:6" s="4" customFormat="1" ht="12.75" customHeight="1">
      <c r="F633" s="48"/>
    </row>
    <row r="634" spans="6:6" s="4" customFormat="1" ht="12.75" customHeight="1">
      <c r="F634" s="48"/>
    </row>
    <row r="635" spans="6:6" s="4" customFormat="1" ht="12.75" customHeight="1">
      <c r="F635" s="48"/>
    </row>
    <row r="636" spans="6:6" s="4" customFormat="1" ht="12.75" customHeight="1">
      <c r="F636" s="48"/>
    </row>
    <row r="637" spans="6:6" s="4" customFormat="1" ht="12.75" customHeight="1">
      <c r="F637" s="48"/>
    </row>
    <row r="638" spans="6:6" s="4" customFormat="1" ht="12.75" customHeight="1">
      <c r="F638" s="48"/>
    </row>
    <row r="639" spans="6:6" s="4" customFormat="1" ht="12.75" customHeight="1">
      <c r="F639" s="48"/>
    </row>
    <row r="640" spans="6:6" s="4" customFormat="1" ht="12.75" customHeight="1">
      <c r="F640" s="48"/>
    </row>
    <row r="641" spans="6:6" s="4" customFormat="1" ht="12.75" customHeight="1">
      <c r="F641" s="48"/>
    </row>
    <row r="642" spans="6:6" s="4" customFormat="1" ht="12.75" customHeight="1">
      <c r="F642" s="48"/>
    </row>
    <row r="643" spans="6:6" s="4" customFormat="1" ht="12.75" customHeight="1">
      <c r="F643" s="48"/>
    </row>
    <row r="644" spans="6:6" s="4" customFormat="1" ht="12.75" customHeight="1">
      <c r="F644" s="48"/>
    </row>
    <row r="645" spans="6:6" s="4" customFormat="1" ht="12.75" customHeight="1">
      <c r="F645" s="48"/>
    </row>
    <row r="646" spans="6:6" s="4" customFormat="1" ht="12.75" customHeight="1">
      <c r="F646" s="48"/>
    </row>
    <row r="647" spans="6:6" s="4" customFormat="1" ht="12.75" customHeight="1">
      <c r="F647" s="48"/>
    </row>
    <row r="648" spans="6:6" s="4" customFormat="1" ht="12.75" customHeight="1">
      <c r="F648" s="48"/>
    </row>
    <row r="649" spans="6:6" s="4" customFormat="1" ht="12.75" customHeight="1">
      <c r="F649" s="48"/>
    </row>
    <row r="650" spans="6:6" s="4" customFormat="1" ht="12.75" customHeight="1">
      <c r="F650" s="48"/>
    </row>
    <row r="651" spans="6:6" s="4" customFormat="1" ht="12.75" customHeight="1">
      <c r="F651" s="48"/>
    </row>
    <row r="652" spans="6:6" s="4" customFormat="1" ht="12.75" customHeight="1">
      <c r="F652" s="48"/>
    </row>
    <row r="653" spans="6:6" s="4" customFormat="1" ht="12.75" customHeight="1">
      <c r="F653" s="48"/>
    </row>
    <row r="654" spans="6:6" s="4" customFormat="1" ht="12.75" customHeight="1">
      <c r="F654" s="48"/>
    </row>
    <row r="655" spans="6:6" s="4" customFormat="1" ht="12.75" customHeight="1">
      <c r="F655" s="48"/>
    </row>
    <row r="656" spans="6:6" s="4" customFormat="1" ht="12.75" customHeight="1">
      <c r="F656" s="48"/>
    </row>
    <row r="657" spans="6:6" s="4" customFormat="1" ht="12.75" customHeight="1">
      <c r="F657" s="48"/>
    </row>
    <row r="658" spans="6:6" s="4" customFormat="1" ht="12.75" customHeight="1">
      <c r="F658" s="48"/>
    </row>
    <row r="659" spans="6:6" s="4" customFormat="1" ht="12.75" customHeight="1">
      <c r="F659" s="48"/>
    </row>
    <row r="660" spans="6:6" s="4" customFormat="1" ht="12.75" customHeight="1">
      <c r="F660" s="48"/>
    </row>
    <row r="661" spans="6:6" s="4" customFormat="1" ht="12.75" customHeight="1">
      <c r="F661" s="48"/>
    </row>
    <row r="662" spans="6:6" s="4" customFormat="1" ht="12.75" customHeight="1">
      <c r="F662" s="48"/>
    </row>
    <row r="663" spans="6:6" s="4" customFormat="1" ht="12.75" customHeight="1">
      <c r="F663" s="48"/>
    </row>
    <row r="664" spans="6:6" s="4" customFormat="1" ht="12.75" customHeight="1">
      <c r="F664" s="48"/>
    </row>
    <row r="665" spans="6:6" s="4" customFormat="1" ht="12.75" customHeight="1">
      <c r="F665" s="48"/>
    </row>
    <row r="666" spans="6:6" s="4" customFormat="1" ht="12.75" customHeight="1">
      <c r="F666" s="48"/>
    </row>
    <row r="667" spans="6:6" s="4" customFormat="1" ht="12.75" customHeight="1">
      <c r="F667" s="48"/>
    </row>
    <row r="668" spans="6:6" s="4" customFormat="1" ht="12.75" customHeight="1">
      <c r="F668" s="48"/>
    </row>
    <row r="669" spans="6:6" s="4" customFormat="1" ht="12.75" customHeight="1">
      <c r="F669" s="48"/>
    </row>
    <row r="670" spans="6:6" s="4" customFormat="1" ht="12.75" customHeight="1">
      <c r="F670" s="48"/>
    </row>
    <row r="671" spans="6:6" s="4" customFormat="1" ht="12.75" customHeight="1">
      <c r="F671" s="48"/>
    </row>
    <row r="672" spans="6:6" s="4" customFormat="1" ht="12.75" customHeight="1">
      <c r="F672" s="48"/>
    </row>
    <row r="673" spans="6:6" s="4" customFormat="1" ht="12.75" customHeight="1">
      <c r="F673" s="48"/>
    </row>
    <row r="674" spans="6:6" s="4" customFormat="1" ht="12.75" customHeight="1">
      <c r="F674" s="48"/>
    </row>
    <row r="675" spans="6:6" s="4" customFormat="1" ht="12.75" customHeight="1">
      <c r="F675" s="48"/>
    </row>
    <row r="676" spans="6:6" s="4" customFormat="1" ht="12.75" customHeight="1">
      <c r="F676" s="48"/>
    </row>
    <row r="677" spans="6:6" s="4" customFormat="1" ht="12.75" customHeight="1">
      <c r="F677" s="48"/>
    </row>
    <row r="678" spans="6:6" s="4" customFormat="1" ht="12.75" customHeight="1">
      <c r="F678" s="48"/>
    </row>
    <row r="679" spans="6:6" s="4" customFormat="1" ht="12.75" customHeight="1">
      <c r="F679" s="48"/>
    </row>
    <row r="680" spans="6:6" s="4" customFormat="1" ht="12.75" customHeight="1">
      <c r="F680" s="48"/>
    </row>
    <row r="681" spans="6:6" s="4" customFormat="1" ht="12.75" customHeight="1">
      <c r="F681" s="48"/>
    </row>
    <row r="682" spans="6:6" s="4" customFormat="1" ht="12.75" customHeight="1">
      <c r="F682" s="48"/>
    </row>
    <row r="683" spans="6:6" s="4" customFormat="1" ht="12.75" customHeight="1">
      <c r="F683" s="48"/>
    </row>
    <row r="684" spans="6:6" s="4" customFormat="1" ht="12.75" customHeight="1">
      <c r="F684" s="48"/>
    </row>
    <row r="685" spans="6:6" s="4" customFormat="1" ht="12.75" customHeight="1">
      <c r="F685" s="48"/>
    </row>
    <row r="686" spans="6:6" s="4" customFormat="1" ht="12.75" customHeight="1">
      <c r="F686" s="48"/>
    </row>
    <row r="687" spans="6:6" s="4" customFormat="1" ht="12.75" customHeight="1">
      <c r="F687" s="48"/>
    </row>
    <row r="688" spans="6:6" s="4" customFormat="1" ht="12.75" customHeight="1">
      <c r="F688" s="48"/>
    </row>
    <row r="689" spans="6:6" s="4" customFormat="1" ht="12.75" customHeight="1">
      <c r="F689" s="48"/>
    </row>
    <row r="690" spans="6:6" s="4" customFormat="1" ht="12.75" customHeight="1">
      <c r="F690" s="48"/>
    </row>
    <row r="691" spans="6:6" s="4" customFormat="1" ht="12.75" customHeight="1">
      <c r="F691" s="48"/>
    </row>
    <row r="692" spans="6:6" s="4" customFormat="1" ht="12.75" customHeight="1">
      <c r="F692" s="48"/>
    </row>
    <row r="693" spans="6:6" s="4" customFormat="1" ht="12.75" customHeight="1">
      <c r="F693" s="48"/>
    </row>
    <row r="694" spans="6:6" s="4" customFormat="1" ht="12.75" customHeight="1">
      <c r="F694" s="48"/>
    </row>
    <row r="695" spans="6:6" s="4" customFormat="1" ht="12.75" customHeight="1">
      <c r="F695" s="48"/>
    </row>
    <row r="696" spans="6:6" s="4" customFormat="1" ht="12.75" customHeight="1">
      <c r="F696" s="48"/>
    </row>
    <row r="697" spans="6:6" s="4" customFormat="1" ht="12.75" customHeight="1">
      <c r="F697" s="48"/>
    </row>
    <row r="698" spans="6:6" s="4" customFormat="1" ht="12.75" customHeight="1">
      <c r="F698" s="48"/>
    </row>
    <row r="699" spans="6:6" s="4" customFormat="1" ht="12.75" customHeight="1">
      <c r="F699" s="48"/>
    </row>
    <row r="700" spans="6:6" s="4" customFormat="1" ht="12.75" customHeight="1">
      <c r="F700" s="48"/>
    </row>
    <row r="701" spans="6:6" s="4" customFormat="1" ht="12.75" customHeight="1">
      <c r="F701" s="48"/>
    </row>
    <row r="702" spans="6:6" s="4" customFormat="1" ht="12.75" customHeight="1">
      <c r="F702" s="48"/>
    </row>
    <row r="703" spans="6:6" s="4" customFormat="1" ht="12.75" customHeight="1">
      <c r="F703" s="48"/>
    </row>
    <row r="704" spans="6:6" s="4" customFormat="1" ht="12.75" customHeight="1">
      <c r="F704" s="48"/>
    </row>
    <row r="705" spans="6:6" s="4" customFormat="1" ht="12.75" customHeight="1">
      <c r="F705" s="48"/>
    </row>
    <row r="706" spans="6:6" s="4" customFormat="1" ht="12.75" customHeight="1">
      <c r="F706" s="48"/>
    </row>
    <row r="707" spans="6:6" s="4" customFormat="1" ht="12.75" customHeight="1">
      <c r="F707" s="48"/>
    </row>
    <row r="708" spans="6:6" s="4" customFormat="1" ht="12.75" customHeight="1">
      <c r="F708" s="48"/>
    </row>
    <row r="709" spans="6:6" s="4" customFormat="1" ht="12.75" customHeight="1">
      <c r="F709" s="48"/>
    </row>
    <row r="710" spans="6:6" s="4" customFormat="1" ht="12.75" customHeight="1">
      <c r="F710" s="48"/>
    </row>
    <row r="711" spans="6:6" s="4" customFormat="1" ht="12.75" customHeight="1">
      <c r="F711" s="48"/>
    </row>
    <row r="712" spans="6:6" s="4" customFormat="1" ht="12.75" customHeight="1">
      <c r="F712" s="48"/>
    </row>
    <row r="713" spans="6:6" s="4" customFormat="1" ht="12.75" customHeight="1">
      <c r="F713" s="48"/>
    </row>
    <row r="714" spans="6:6" s="4" customFormat="1" ht="12.75" customHeight="1">
      <c r="F714" s="48"/>
    </row>
    <row r="715" spans="6:6" s="4" customFormat="1" ht="12.75" customHeight="1">
      <c r="F715" s="48"/>
    </row>
    <row r="716" spans="6:6" s="4" customFormat="1" ht="12.75" customHeight="1">
      <c r="F716" s="48"/>
    </row>
    <row r="717" spans="6:6" s="4" customFormat="1" ht="12.75" customHeight="1">
      <c r="F717" s="48"/>
    </row>
    <row r="718" spans="6:6" s="4" customFormat="1" ht="12.75" customHeight="1">
      <c r="F718" s="48"/>
    </row>
    <row r="719" spans="6:6" s="4" customFormat="1" ht="12.75" customHeight="1">
      <c r="F719" s="48"/>
    </row>
    <row r="720" spans="6:6" s="4" customFormat="1" ht="12.75" customHeight="1">
      <c r="F720" s="48"/>
    </row>
    <row r="721" spans="6:6" s="4" customFormat="1" ht="12.75" customHeight="1">
      <c r="F721" s="48"/>
    </row>
    <row r="722" spans="6:6" s="4" customFormat="1" ht="12.75" customHeight="1">
      <c r="F722" s="48"/>
    </row>
    <row r="723" spans="6:6" s="4" customFormat="1" ht="12.75" customHeight="1">
      <c r="F723" s="48"/>
    </row>
    <row r="724" spans="6:6" s="4" customFormat="1" ht="12.75" customHeight="1">
      <c r="F724" s="48"/>
    </row>
    <row r="725" spans="6:6" s="4" customFormat="1" ht="12.75" customHeight="1">
      <c r="F725" s="48"/>
    </row>
    <row r="726" spans="6:6" s="4" customFormat="1" ht="12.75" customHeight="1">
      <c r="F726" s="48"/>
    </row>
    <row r="727" spans="6:6" s="4" customFormat="1" ht="12.75" customHeight="1">
      <c r="F727" s="48"/>
    </row>
    <row r="728" spans="6:6" s="4" customFormat="1" ht="12.75" customHeight="1">
      <c r="F728" s="48"/>
    </row>
    <row r="729" spans="6:6" s="4" customFormat="1" ht="12.75" customHeight="1">
      <c r="F729" s="48"/>
    </row>
    <row r="730" spans="6:6" s="4" customFormat="1" ht="12.75" customHeight="1">
      <c r="F730" s="48"/>
    </row>
    <row r="731" spans="6:6" s="4" customFormat="1" ht="12.75" customHeight="1">
      <c r="F731" s="48"/>
    </row>
    <row r="732" spans="6:6" s="4" customFormat="1" ht="12.75" customHeight="1">
      <c r="F732" s="48"/>
    </row>
    <row r="733" spans="6:6" s="4" customFormat="1" ht="12.75" customHeight="1">
      <c r="F733" s="48"/>
    </row>
    <row r="734" spans="6:6" s="4" customFormat="1" ht="12.75" customHeight="1">
      <c r="F734" s="48"/>
    </row>
    <row r="735" spans="6:6" s="4" customFormat="1" ht="12.75" customHeight="1">
      <c r="F735" s="48"/>
    </row>
    <row r="736" spans="6:6" s="4" customFormat="1" ht="12.75" customHeight="1">
      <c r="F736" s="48"/>
    </row>
    <row r="737" spans="6:6" s="4" customFormat="1" ht="12.75" customHeight="1">
      <c r="F737" s="48"/>
    </row>
    <row r="738" spans="6:6" s="4" customFormat="1" ht="12.75" customHeight="1">
      <c r="F738" s="48"/>
    </row>
    <row r="739" spans="6:6" s="4" customFormat="1" ht="12.75" customHeight="1">
      <c r="F739" s="48"/>
    </row>
    <row r="740" spans="6:6" s="4" customFormat="1" ht="12.75" customHeight="1">
      <c r="F740" s="48"/>
    </row>
    <row r="741" spans="6:6" s="4" customFormat="1" ht="12.75" customHeight="1">
      <c r="F741" s="48"/>
    </row>
    <row r="742" spans="6:6" s="4" customFormat="1" ht="12.75" customHeight="1">
      <c r="F742" s="48"/>
    </row>
    <row r="743" spans="6:6" s="4" customFormat="1" ht="12.75" customHeight="1">
      <c r="F743" s="48"/>
    </row>
    <row r="744" spans="6:6" s="4" customFormat="1" ht="12.75" customHeight="1">
      <c r="F744" s="48"/>
    </row>
    <row r="745" spans="6:6" s="4" customFormat="1" ht="12.75" customHeight="1">
      <c r="F745" s="48"/>
    </row>
    <row r="746" spans="6:6" s="4" customFormat="1" ht="12.75" customHeight="1">
      <c r="F746" s="48"/>
    </row>
    <row r="747" spans="6:6" s="4" customFormat="1" ht="12.75" customHeight="1">
      <c r="F747" s="48"/>
    </row>
    <row r="748" spans="6:6" s="4" customFormat="1" ht="12.75" customHeight="1">
      <c r="F748" s="48"/>
    </row>
    <row r="749" spans="6:6" s="4" customFormat="1" ht="12.75" customHeight="1">
      <c r="F749" s="48"/>
    </row>
    <row r="750" spans="6:6" s="4" customFormat="1" ht="12.75" customHeight="1">
      <c r="F750" s="48"/>
    </row>
    <row r="751" spans="6:6" s="4" customFormat="1" ht="12.75" customHeight="1">
      <c r="F751" s="48"/>
    </row>
    <row r="752" spans="6:6" s="4" customFormat="1" ht="12.75" customHeight="1">
      <c r="F752" s="48"/>
    </row>
    <row r="753" spans="6:6" s="4" customFormat="1" ht="12.75" customHeight="1">
      <c r="F753" s="48"/>
    </row>
    <row r="754" spans="6:6" s="4" customFormat="1" ht="12.75" customHeight="1">
      <c r="F754" s="48"/>
    </row>
    <row r="755" spans="6:6" s="4" customFormat="1" ht="12.75" customHeight="1">
      <c r="F755" s="48"/>
    </row>
    <row r="756" spans="6:6" s="4" customFormat="1" ht="12.75" customHeight="1">
      <c r="F756" s="48"/>
    </row>
    <row r="757" spans="6:6" s="4" customFormat="1" ht="12.75" customHeight="1">
      <c r="F757" s="48"/>
    </row>
    <row r="758" spans="6:6" s="4" customFormat="1" ht="12.75" customHeight="1">
      <c r="F758" s="48"/>
    </row>
    <row r="759" spans="6:6" s="4" customFormat="1" ht="12.75" customHeight="1">
      <c r="F759" s="48"/>
    </row>
    <row r="760" spans="6:6" s="4" customFormat="1" ht="12.75" customHeight="1">
      <c r="F760" s="48"/>
    </row>
    <row r="761" spans="6:6" s="4" customFormat="1" ht="12.75" customHeight="1">
      <c r="F761" s="48"/>
    </row>
    <row r="762" spans="6:6" s="4" customFormat="1" ht="12.75" customHeight="1">
      <c r="F762" s="48"/>
    </row>
    <row r="763" spans="6:6" s="4" customFormat="1" ht="12.75" customHeight="1">
      <c r="F763" s="48"/>
    </row>
    <row r="764" spans="6:6" s="4" customFormat="1" ht="12.75" customHeight="1">
      <c r="F764" s="48"/>
    </row>
    <row r="765" spans="6:6" s="4" customFormat="1" ht="12.75" customHeight="1">
      <c r="F765" s="48"/>
    </row>
    <row r="766" spans="6:6" s="4" customFormat="1" ht="12.75" customHeight="1">
      <c r="F766" s="48"/>
    </row>
    <row r="767" spans="6:6" s="4" customFormat="1" ht="12.75" customHeight="1">
      <c r="F767" s="48"/>
    </row>
    <row r="768" spans="6:6" s="4" customFormat="1" ht="12.75" customHeight="1">
      <c r="F768" s="48"/>
    </row>
    <row r="769" spans="6:6" s="4" customFormat="1" ht="12.75" customHeight="1">
      <c r="F769" s="48"/>
    </row>
    <row r="770" spans="6:6" s="4" customFormat="1" ht="12.75" customHeight="1">
      <c r="F770" s="48"/>
    </row>
    <row r="771" spans="6:6" s="4" customFormat="1" ht="12.75" customHeight="1">
      <c r="F771" s="48"/>
    </row>
    <row r="772" spans="6:6" s="4" customFormat="1" ht="12.75" customHeight="1">
      <c r="F772" s="48"/>
    </row>
    <row r="773" spans="6:6" s="4" customFormat="1" ht="12.75" customHeight="1">
      <c r="F773" s="48"/>
    </row>
    <row r="774" spans="6:6" s="4" customFormat="1" ht="12.75" customHeight="1">
      <c r="F774" s="48"/>
    </row>
    <row r="775" spans="6:6" s="4" customFormat="1" ht="12.75" customHeight="1">
      <c r="F775" s="48"/>
    </row>
    <row r="776" spans="6:6" s="4" customFormat="1" ht="12.75" customHeight="1">
      <c r="F776" s="48"/>
    </row>
    <row r="777" spans="6:6" s="4" customFormat="1" ht="12.75" customHeight="1">
      <c r="F777" s="48"/>
    </row>
    <row r="778" spans="6:6" s="4" customFormat="1" ht="12.75" customHeight="1">
      <c r="F778" s="48"/>
    </row>
    <row r="779" spans="6:6" s="4" customFormat="1" ht="12.75" customHeight="1">
      <c r="F779" s="48"/>
    </row>
    <row r="780" spans="6:6" s="4" customFormat="1" ht="12.75" customHeight="1">
      <c r="F780" s="48"/>
    </row>
    <row r="781" spans="6:6" s="4" customFormat="1" ht="12.75" customHeight="1">
      <c r="F781" s="48"/>
    </row>
    <row r="782" spans="6:6" s="4" customFormat="1" ht="12.75" customHeight="1">
      <c r="F782" s="48"/>
    </row>
    <row r="783" spans="6:6" s="4" customFormat="1" ht="12.75" customHeight="1">
      <c r="F783" s="48"/>
    </row>
    <row r="784" spans="6:6" s="4" customFormat="1" ht="12.75" customHeight="1">
      <c r="F784" s="48"/>
    </row>
    <row r="785" spans="6:6" s="4" customFormat="1" ht="12.75" customHeight="1">
      <c r="F785" s="48"/>
    </row>
    <row r="786" spans="6:6" s="4" customFormat="1" ht="12.75" customHeight="1">
      <c r="F786" s="48"/>
    </row>
    <row r="787" spans="6:6" s="4" customFormat="1" ht="12.75" customHeight="1">
      <c r="F787" s="48"/>
    </row>
    <row r="788" spans="6:6" s="4" customFormat="1" ht="12.75" customHeight="1">
      <c r="F788" s="48"/>
    </row>
    <row r="789" spans="6:6" s="4" customFormat="1" ht="12.75" customHeight="1">
      <c r="F789" s="48"/>
    </row>
    <row r="790" spans="6:6" s="4" customFormat="1" ht="12.75" customHeight="1">
      <c r="F790" s="48"/>
    </row>
    <row r="791" spans="6:6" s="4" customFormat="1" ht="12.75" customHeight="1">
      <c r="F791" s="48"/>
    </row>
    <row r="792" spans="6:6" s="4" customFormat="1" ht="12.75" customHeight="1">
      <c r="F792" s="48"/>
    </row>
    <row r="793" spans="6:6" s="4" customFormat="1" ht="12.75" customHeight="1">
      <c r="F793" s="48"/>
    </row>
    <row r="794" spans="6:6" s="4" customFormat="1" ht="12.75" customHeight="1">
      <c r="F794" s="48"/>
    </row>
    <row r="795" spans="6:6" s="4" customFormat="1" ht="12.75" customHeight="1">
      <c r="F795" s="48"/>
    </row>
    <row r="796" spans="6:6" s="4" customFormat="1" ht="12.75" customHeight="1">
      <c r="F796" s="48"/>
    </row>
    <row r="797" spans="6:6" s="4" customFormat="1" ht="12.75" customHeight="1">
      <c r="F797" s="48"/>
    </row>
    <row r="798" spans="6:6" s="4" customFormat="1" ht="12.75" customHeight="1">
      <c r="F798" s="48"/>
    </row>
    <row r="799" spans="6:6" s="4" customFormat="1" ht="12.75" customHeight="1">
      <c r="F799" s="48"/>
    </row>
    <row r="800" spans="6:6" s="4" customFormat="1" ht="12.75" customHeight="1">
      <c r="F800" s="48"/>
    </row>
    <row r="801" spans="6:6" s="4" customFormat="1" ht="12.75" customHeight="1">
      <c r="F801" s="48"/>
    </row>
    <row r="802" spans="6:6" s="4" customFormat="1" ht="12.75" customHeight="1">
      <c r="F802" s="48"/>
    </row>
    <row r="803" spans="6:6" s="4" customFormat="1" ht="12.75" customHeight="1">
      <c r="F803" s="48"/>
    </row>
    <row r="804" spans="6:6" s="4" customFormat="1" ht="12.75" customHeight="1">
      <c r="F804" s="48"/>
    </row>
    <row r="805" spans="6:6" s="4" customFormat="1" ht="12.75" customHeight="1">
      <c r="F805" s="48"/>
    </row>
    <row r="806" spans="6:6" s="4" customFormat="1" ht="12.75" customHeight="1">
      <c r="F806" s="48"/>
    </row>
    <row r="807" spans="6:6" s="4" customFormat="1" ht="12.75" customHeight="1">
      <c r="F807" s="48"/>
    </row>
    <row r="808" spans="6:6" s="4" customFormat="1" ht="12.75" customHeight="1">
      <c r="F808" s="48"/>
    </row>
    <row r="809" spans="6:6" s="4" customFormat="1" ht="12.75" customHeight="1">
      <c r="F809" s="48"/>
    </row>
    <row r="810" spans="6:6" s="4" customFormat="1" ht="12.75" customHeight="1">
      <c r="F810" s="48"/>
    </row>
    <row r="811" spans="6:6" s="4" customFormat="1" ht="12.75" customHeight="1">
      <c r="F811" s="48"/>
    </row>
    <row r="812" spans="6:6" s="4" customFormat="1" ht="12.75" customHeight="1">
      <c r="F812" s="48"/>
    </row>
    <row r="813" spans="6:6" s="4" customFormat="1" ht="12.75" customHeight="1">
      <c r="F813" s="48"/>
    </row>
    <row r="814" spans="6:6" s="4" customFormat="1" ht="12.75" customHeight="1">
      <c r="F814" s="48"/>
    </row>
    <row r="815" spans="6:6" s="4" customFormat="1" ht="12.75" customHeight="1">
      <c r="F815" s="48"/>
    </row>
    <row r="816" spans="6:6" s="4" customFormat="1" ht="12.75" customHeight="1">
      <c r="F816" s="48"/>
    </row>
    <row r="817" spans="6:6" s="4" customFormat="1" ht="12.75" customHeight="1">
      <c r="F817" s="48"/>
    </row>
    <row r="818" spans="6:6" s="4" customFormat="1" ht="12.75" customHeight="1">
      <c r="F818" s="48"/>
    </row>
    <row r="819" spans="6:6" s="4" customFormat="1" ht="12.75" customHeight="1">
      <c r="F819" s="48"/>
    </row>
    <row r="820" spans="6:6" s="4" customFormat="1" ht="12.75" customHeight="1">
      <c r="F820" s="48"/>
    </row>
    <row r="821" spans="6:6" s="4" customFormat="1" ht="12.75" customHeight="1">
      <c r="F821" s="48"/>
    </row>
    <row r="822" spans="6:6" s="4" customFormat="1" ht="12.75" customHeight="1">
      <c r="F822" s="48"/>
    </row>
    <row r="823" spans="6:6" s="4" customFormat="1" ht="12.75" customHeight="1">
      <c r="F823" s="48"/>
    </row>
    <row r="824" spans="6:6" s="4" customFormat="1" ht="12.75" customHeight="1">
      <c r="F824" s="48"/>
    </row>
    <row r="825" spans="6:6" s="4" customFormat="1" ht="12.75" customHeight="1">
      <c r="F825" s="48"/>
    </row>
    <row r="826" spans="6:6" s="4" customFormat="1" ht="12.75" customHeight="1">
      <c r="F826" s="48"/>
    </row>
    <row r="827" spans="6:6" s="4" customFormat="1" ht="12.75" customHeight="1">
      <c r="F827" s="48"/>
    </row>
    <row r="828" spans="6:6" s="4" customFormat="1" ht="12.75" customHeight="1">
      <c r="F828" s="48"/>
    </row>
    <row r="829" spans="6:6" s="4" customFormat="1" ht="12.75" customHeight="1">
      <c r="F829" s="48"/>
    </row>
    <row r="830" spans="6:6" s="4" customFormat="1" ht="12.75" customHeight="1">
      <c r="F830" s="48"/>
    </row>
    <row r="831" spans="6:6" s="4" customFormat="1" ht="12.75" customHeight="1">
      <c r="F831" s="48"/>
    </row>
    <row r="832" spans="6:6" s="4" customFormat="1" ht="12.75" customHeight="1">
      <c r="F832" s="48"/>
    </row>
    <row r="833" spans="6:6" s="4" customFormat="1" ht="12.75" customHeight="1">
      <c r="F833" s="48"/>
    </row>
    <row r="834" spans="6:6" s="4" customFormat="1" ht="12.75" customHeight="1">
      <c r="F834" s="48"/>
    </row>
    <row r="835" spans="6:6" s="4" customFormat="1" ht="12.75" customHeight="1">
      <c r="F835" s="48"/>
    </row>
    <row r="836" spans="6:6" s="4" customFormat="1" ht="12.75" customHeight="1">
      <c r="F836" s="48"/>
    </row>
    <row r="837" spans="6:6" s="4" customFormat="1" ht="12.75" customHeight="1">
      <c r="F837" s="48"/>
    </row>
    <row r="838" spans="6:6" s="4" customFormat="1" ht="12.75" customHeight="1">
      <c r="F838" s="48"/>
    </row>
    <row r="839" spans="6:6" s="4" customFormat="1" ht="12.75" customHeight="1">
      <c r="F839" s="48"/>
    </row>
    <row r="840" spans="6:6" s="4" customFormat="1" ht="12.75" customHeight="1">
      <c r="F840" s="48"/>
    </row>
    <row r="841" spans="6:6" s="4" customFormat="1" ht="12.75" customHeight="1">
      <c r="F841" s="48"/>
    </row>
    <row r="842" spans="6:6" s="4" customFormat="1" ht="12.75" customHeight="1">
      <c r="F842" s="48"/>
    </row>
    <row r="843" spans="6:6" s="4" customFormat="1" ht="12.75" customHeight="1">
      <c r="F843" s="48"/>
    </row>
    <row r="844" spans="6:6" s="4" customFormat="1" ht="12.75" customHeight="1">
      <c r="F844" s="48"/>
    </row>
    <row r="845" spans="6:6" s="4" customFormat="1" ht="12.75" customHeight="1">
      <c r="F845" s="48"/>
    </row>
    <row r="846" spans="6:6" s="4" customFormat="1" ht="12.75" customHeight="1">
      <c r="F846" s="48"/>
    </row>
    <row r="847" spans="6:6" s="4" customFormat="1" ht="12.75" customHeight="1">
      <c r="F847" s="48"/>
    </row>
    <row r="848" spans="6:6" s="4" customFormat="1" ht="12.75" customHeight="1">
      <c r="F848" s="48"/>
    </row>
    <row r="849" spans="6:6" s="4" customFormat="1" ht="12.75" customHeight="1">
      <c r="F849" s="48"/>
    </row>
    <row r="850" spans="6:6" s="4" customFormat="1" ht="12.75" customHeight="1">
      <c r="F850" s="48"/>
    </row>
    <row r="851" spans="6:6" s="4" customFormat="1" ht="12.75" customHeight="1">
      <c r="F851" s="48"/>
    </row>
    <row r="852" spans="6:6" s="4" customFormat="1" ht="12.75" customHeight="1">
      <c r="F852" s="48"/>
    </row>
    <row r="853" spans="6:6" s="4" customFormat="1" ht="12.75" customHeight="1">
      <c r="F853" s="48"/>
    </row>
    <row r="854" spans="6:6" s="4" customFormat="1" ht="12.75" customHeight="1">
      <c r="F854" s="48"/>
    </row>
    <row r="855" spans="6:6" s="4" customFormat="1" ht="12.75" customHeight="1">
      <c r="F855" s="48"/>
    </row>
    <row r="856" spans="6:6" s="4" customFormat="1" ht="12.75" customHeight="1">
      <c r="F856" s="48"/>
    </row>
    <row r="857" spans="6:6" s="4" customFormat="1" ht="12.75" customHeight="1">
      <c r="F857" s="48"/>
    </row>
    <row r="858" spans="6:6" s="4" customFormat="1" ht="12.75" customHeight="1">
      <c r="F858" s="48"/>
    </row>
    <row r="859" spans="6:6" s="4" customFormat="1" ht="12.75" customHeight="1">
      <c r="F859" s="48"/>
    </row>
    <row r="860" spans="6:6" s="4" customFormat="1" ht="12.75" customHeight="1">
      <c r="F860" s="48"/>
    </row>
    <row r="861" spans="6:6" s="4" customFormat="1" ht="12.75" customHeight="1">
      <c r="F861" s="48"/>
    </row>
    <row r="862" spans="6:6" s="4" customFormat="1" ht="12.75" customHeight="1">
      <c r="F862" s="48"/>
    </row>
    <row r="863" spans="6:6" s="4" customFormat="1" ht="12.75" customHeight="1">
      <c r="F863" s="48"/>
    </row>
    <row r="864" spans="6:6" s="4" customFormat="1" ht="12.75" customHeight="1">
      <c r="F864" s="48"/>
    </row>
    <row r="865" spans="6:6" s="4" customFormat="1" ht="12.75" customHeight="1">
      <c r="F865" s="48"/>
    </row>
    <row r="866" spans="6:6" s="4" customFormat="1" ht="12.75" customHeight="1">
      <c r="F866" s="48"/>
    </row>
    <row r="867" spans="6:6" s="4" customFormat="1" ht="12.75" customHeight="1">
      <c r="F867" s="48"/>
    </row>
    <row r="868" spans="6:6" s="4" customFormat="1" ht="12.75" customHeight="1">
      <c r="F868" s="48"/>
    </row>
    <row r="869" spans="6:6" s="4" customFormat="1" ht="12.75" customHeight="1">
      <c r="F869" s="48"/>
    </row>
    <row r="870" spans="6:6" s="4" customFormat="1" ht="12.75" customHeight="1">
      <c r="F870" s="48"/>
    </row>
    <row r="871" spans="6:6" s="4" customFormat="1" ht="12.75" customHeight="1">
      <c r="F871" s="48"/>
    </row>
    <row r="872" spans="6:6" s="4" customFormat="1" ht="12.75" customHeight="1">
      <c r="F872" s="48"/>
    </row>
    <row r="873" spans="6:6" s="4" customFormat="1" ht="12.75" customHeight="1">
      <c r="F873" s="48"/>
    </row>
    <row r="874" spans="6:6" s="4" customFormat="1" ht="12.75" customHeight="1">
      <c r="F874" s="48"/>
    </row>
    <row r="875" spans="6:6" s="4" customFormat="1" ht="12.75" customHeight="1">
      <c r="F875" s="48"/>
    </row>
    <row r="876" spans="6:6" s="4" customFormat="1" ht="12.75" customHeight="1">
      <c r="F876" s="48"/>
    </row>
    <row r="877" spans="6:6" s="4" customFormat="1" ht="12.75" customHeight="1">
      <c r="F877" s="48"/>
    </row>
    <row r="878" spans="6:6" s="4" customFormat="1" ht="12.75" customHeight="1">
      <c r="F878" s="48"/>
    </row>
    <row r="879" spans="6:6" s="4" customFormat="1" ht="12.75" customHeight="1">
      <c r="F879" s="48"/>
    </row>
    <row r="880" spans="6:6" s="4" customFormat="1" ht="12.75" customHeight="1">
      <c r="F880" s="48"/>
    </row>
    <row r="881" spans="6:6" s="4" customFormat="1" ht="12.75" customHeight="1">
      <c r="F881" s="48"/>
    </row>
    <row r="882" spans="6:6" s="4" customFormat="1" ht="12.75" customHeight="1">
      <c r="F882" s="48"/>
    </row>
    <row r="883" spans="6:6" s="4" customFormat="1" ht="12.75" customHeight="1">
      <c r="F883" s="48"/>
    </row>
    <row r="884" spans="6:6" s="4" customFormat="1" ht="12.75" customHeight="1">
      <c r="F884" s="48"/>
    </row>
    <row r="885" spans="6:6" s="4" customFormat="1" ht="12.75" customHeight="1">
      <c r="F885" s="48"/>
    </row>
    <row r="886" spans="6:6" s="4" customFormat="1" ht="12.75" customHeight="1">
      <c r="F886" s="48"/>
    </row>
    <row r="887" spans="6:6" s="4" customFormat="1" ht="12.75" customHeight="1">
      <c r="F887" s="48"/>
    </row>
    <row r="888" spans="6:6" s="4" customFormat="1" ht="12.75" customHeight="1">
      <c r="F888" s="48"/>
    </row>
    <row r="889" spans="6:6" s="4" customFormat="1" ht="12.75" customHeight="1">
      <c r="F889" s="48"/>
    </row>
    <row r="890" spans="6:6" s="4" customFormat="1" ht="12.75" customHeight="1">
      <c r="F890" s="48"/>
    </row>
    <row r="891" spans="6:6" s="4" customFormat="1" ht="12.75" customHeight="1">
      <c r="F891" s="48"/>
    </row>
    <row r="892" spans="6:6" s="4" customFormat="1" ht="12.75" customHeight="1">
      <c r="F892" s="48"/>
    </row>
    <row r="893" spans="6:6" s="4" customFormat="1" ht="12.75" customHeight="1">
      <c r="F893" s="48"/>
    </row>
    <row r="894" spans="6:6" s="4" customFormat="1" ht="12.75" customHeight="1">
      <c r="F894" s="48"/>
    </row>
    <row r="895" spans="6:6" s="4" customFormat="1" ht="12.75" customHeight="1">
      <c r="F895" s="48"/>
    </row>
    <row r="896" spans="6:6" s="4" customFormat="1" ht="12.75" customHeight="1">
      <c r="F896" s="48"/>
    </row>
    <row r="897" spans="6:6" s="4" customFormat="1" ht="12.75" customHeight="1">
      <c r="F897" s="48"/>
    </row>
    <row r="898" spans="6:6" s="4" customFormat="1" ht="12.75" customHeight="1">
      <c r="F898" s="48"/>
    </row>
    <row r="899" spans="6:6" s="4" customFormat="1" ht="12.75" customHeight="1">
      <c r="F899" s="48"/>
    </row>
    <row r="900" spans="6:6" s="4" customFormat="1" ht="12.75" customHeight="1">
      <c r="F900" s="48"/>
    </row>
    <row r="901" spans="6:6" s="4" customFormat="1" ht="12.75" customHeight="1">
      <c r="F901" s="48"/>
    </row>
    <row r="902" spans="6:6" s="4" customFormat="1" ht="12.75" customHeight="1">
      <c r="F902" s="48"/>
    </row>
    <row r="903" spans="6:6" s="4" customFormat="1" ht="12.75" customHeight="1">
      <c r="F903" s="48"/>
    </row>
    <row r="904" spans="6:6" s="4" customFormat="1" ht="12.75" customHeight="1">
      <c r="F904" s="48"/>
    </row>
    <row r="905" spans="6:6" s="4" customFormat="1" ht="12.75" customHeight="1">
      <c r="F905" s="48"/>
    </row>
    <row r="906" spans="6:6" s="4" customFormat="1" ht="12.75" customHeight="1">
      <c r="F906" s="48"/>
    </row>
    <row r="907" spans="6:6" s="4" customFormat="1" ht="12.75" customHeight="1">
      <c r="F907" s="48"/>
    </row>
    <row r="908" spans="6:6" s="4" customFormat="1" ht="12.75" customHeight="1">
      <c r="F908" s="48"/>
    </row>
    <row r="909" spans="6:6" s="4" customFormat="1" ht="12.75" customHeight="1">
      <c r="F909" s="48"/>
    </row>
    <row r="910" spans="6:6" s="4" customFormat="1" ht="12.75" customHeight="1">
      <c r="F910" s="48"/>
    </row>
    <row r="911" spans="6:6" s="4" customFormat="1" ht="12.75" customHeight="1">
      <c r="F911" s="48"/>
    </row>
    <row r="912" spans="6:6" s="4" customFormat="1" ht="12.75" customHeight="1">
      <c r="F912" s="48"/>
    </row>
    <row r="913" spans="6:6" s="4" customFormat="1" ht="12.75" customHeight="1">
      <c r="F913" s="48"/>
    </row>
    <row r="914" spans="6:6" s="4" customFormat="1" ht="12.75" customHeight="1">
      <c r="F914" s="48"/>
    </row>
    <row r="915" spans="6:6" s="4" customFormat="1" ht="12.75" customHeight="1">
      <c r="F915" s="48"/>
    </row>
    <row r="916" spans="6:6" s="4" customFormat="1" ht="12.75" customHeight="1">
      <c r="F916" s="48"/>
    </row>
    <row r="917" spans="6:6" s="4" customFormat="1" ht="12.75" customHeight="1">
      <c r="F917" s="48"/>
    </row>
    <row r="918" spans="6:6" s="4" customFormat="1" ht="12.75" customHeight="1">
      <c r="F918" s="48"/>
    </row>
    <row r="919" spans="6:6" s="4" customFormat="1" ht="12.75" customHeight="1">
      <c r="F919" s="48"/>
    </row>
    <row r="920" spans="6:6" s="4" customFormat="1" ht="12.75" customHeight="1">
      <c r="F920" s="48"/>
    </row>
    <row r="921" spans="6:6" s="4" customFormat="1" ht="12.75" customHeight="1">
      <c r="F921" s="48"/>
    </row>
    <row r="922" spans="6:6" s="4" customFormat="1" ht="12.75" customHeight="1">
      <c r="F922" s="48"/>
    </row>
    <row r="923" spans="6:6" s="4" customFormat="1" ht="12.75" customHeight="1">
      <c r="F923" s="48"/>
    </row>
    <row r="924" spans="6:6" s="4" customFormat="1" ht="12.75" customHeight="1">
      <c r="F924" s="48"/>
    </row>
    <row r="925" spans="6:6" s="4" customFormat="1" ht="12.75" customHeight="1">
      <c r="F925" s="48"/>
    </row>
    <row r="926" spans="6:6" s="4" customFormat="1" ht="12.75" customHeight="1">
      <c r="F926" s="48"/>
    </row>
    <row r="927" spans="6:6" s="4" customFormat="1" ht="12.75" customHeight="1">
      <c r="F927" s="48"/>
    </row>
    <row r="928" spans="6:6" s="4" customFormat="1" ht="12.75" customHeight="1">
      <c r="F928" s="48"/>
    </row>
    <row r="929" spans="6:6" s="4" customFormat="1" ht="12.75" customHeight="1">
      <c r="F929" s="48"/>
    </row>
    <row r="930" spans="6:6" s="4" customFormat="1" ht="12.75" customHeight="1">
      <c r="F930" s="48"/>
    </row>
    <row r="931" spans="6:6" s="4" customFormat="1" ht="12.75" customHeight="1">
      <c r="F931" s="48"/>
    </row>
    <row r="932" spans="6:6" s="4" customFormat="1" ht="12.75" customHeight="1">
      <c r="F932" s="48"/>
    </row>
    <row r="933" spans="6:6" s="4" customFormat="1" ht="12.75" customHeight="1">
      <c r="F933" s="48"/>
    </row>
    <row r="934" spans="6:6" s="4" customFormat="1" ht="12.75" customHeight="1">
      <c r="F934" s="48"/>
    </row>
    <row r="935" spans="6:6" s="4" customFormat="1" ht="12.75" customHeight="1">
      <c r="F935" s="48"/>
    </row>
    <row r="936" spans="6:6" s="4" customFormat="1" ht="12.75" customHeight="1">
      <c r="F936" s="48"/>
    </row>
    <row r="937" spans="6:6" s="4" customFormat="1" ht="12.75" customHeight="1">
      <c r="F937" s="48"/>
    </row>
    <row r="938" spans="6:6" s="4" customFormat="1" ht="12.75" customHeight="1">
      <c r="F938" s="48"/>
    </row>
    <row r="939" spans="6:6" s="4" customFormat="1" ht="12.75" customHeight="1">
      <c r="F939" s="48"/>
    </row>
    <row r="940" spans="6:6" s="4" customFormat="1" ht="12.75" customHeight="1">
      <c r="F940" s="48"/>
    </row>
    <row r="941" spans="6:6" s="4" customFormat="1" ht="12.75" customHeight="1">
      <c r="F941" s="48"/>
    </row>
    <row r="942" spans="6:6" s="4" customFormat="1" ht="12.75" customHeight="1">
      <c r="F942" s="48"/>
    </row>
    <row r="943" spans="6:6" s="4" customFormat="1" ht="12.75" customHeight="1">
      <c r="F943" s="48"/>
    </row>
    <row r="944" spans="6:6" s="4" customFormat="1" ht="12.75" customHeight="1">
      <c r="F944" s="48"/>
    </row>
    <row r="945" spans="6:6" s="4" customFormat="1" ht="12.75" customHeight="1">
      <c r="F945" s="48"/>
    </row>
    <row r="946" spans="6:6" s="4" customFormat="1" ht="12.75" customHeight="1">
      <c r="F946" s="48"/>
    </row>
    <row r="947" spans="6:6" s="4" customFormat="1" ht="12.75" customHeight="1">
      <c r="F947" s="48"/>
    </row>
    <row r="948" spans="6:6" s="4" customFormat="1" ht="12.75" customHeight="1">
      <c r="F948" s="48"/>
    </row>
    <row r="949" spans="6:6" s="4" customFormat="1" ht="12.75" customHeight="1">
      <c r="F949" s="48"/>
    </row>
    <row r="950" spans="6:6" s="4" customFormat="1" ht="12.75" customHeight="1">
      <c r="F950" s="48"/>
    </row>
    <row r="951" spans="6:6" s="4" customFormat="1" ht="12.75" customHeight="1">
      <c r="F951" s="48"/>
    </row>
    <row r="952" spans="6:6" s="4" customFormat="1" ht="12.75" customHeight="1">
      <c r="F952" s="48"/>
    </row>
    <row r="953" spans="6:6" s="4" customFormat="1" ht="12.75" customHeight="1">
      <c r="F953" s="48"/>
    </row>
    <row r="954" spans="6:6" s="4" customFormat="1" ht="12.75" customHeight="1">
      <c r="F954" s="48"/>
    </row>
    <row r="955" spans="6:6" s="4" customFormat="1" ht="12.75" customHeight="1">
      <c r="F955" s="48"/>
    </row>
    <row r="956" spans="6:6" s="4" customFormat="1" ht="12.75" customHeight="1">
      <c r="F956" s="48"/>
    </row>
    <row r="957" spans="6:6" s="4" customFormat="1" ht="12.75" customHeight="1">
      <c r="F957" s="48"/>
    </row>
    <row r="958" spans="6:6" s="4" customFormat="1" ht="12.75" customHeight="1">
      <c r="F958" s="48"/>
    </row>
    <row r="959" spans="6:6" s="4" customFormat="1" ht="12.75" customHeight="1">
      <c r="F959" s="48"/>
    </row>
    <row r="960" spans="6:6" s="4" customFormat="1" ht="12.75" customHeight="1">
      <c r="F960" s="48"/>
    </row>
    <row r="961" spans="6:6" s="4" customFormat="1" ht="12.75" customHeight="1">
      <c r="F961" s="48"/>
    </row>
    <row r="962" spans="6:6" s="4" customFormat="1" ht="12.75" customHeight="1">
      <c r="F962" s="48"/>
    </row>
    <row r="963" spans="6:6" s="4" customFormat="1" ht="12.75" customHeight="1">
      <c r="F963" s="48"/>
    </row>
    <row r="964" spans="6:6" s="4" customFormat="1" ht="12.75" customHeight="1">
      <c r="F964" s="48"/>
    </row>
    <row r="965" spans="6:6" s="4" customFormat="1" ht="12.75" customHeight="1">
      <c r="F965" s="48"/>
    </row>
    <row r="966" spans="6:6" s="4" customFormat="1" ht="12.75" customHeight="1">
      <c r="F966" s="48"/>
    </row>
    <row r="967" spans="6:6" s="4" customFormat="1" ht="12.75" customHeight="1">
      <c r="F967" s="48"/>
    </row>
    <row r="968" spans="6:6" s="4" customFormat="1" ht="12.75" customHeight="1">
      <c r="F968" s="48"/>
    </row>
    <row r="969" spans="6:6" s="4" customFormat="1" ht="12.75" customHeight="1">
      <c r="F969" s="48"/>
    </row>
    <row r="970" spans="6:6" s="4" customFormat="1" ht="12.75" customHeight="1">
      <c r="F970" s="48"/>
    </row>
    <row r="971" spans="6:6" s="4" customFormat="1" ht="12.75" customHeight="1">
      <c r="F971" s="48"/>
    </row>
    <row r="972" spans="6:6" s="4" customFormat="1" ht="12.75" customHeight="1">
      <c r="F972" s="48"/>
    </row>
    <row r="973" spans="6:6" s="4" customFormat="1" ht="12.75" customHeight="1">
      <c r="F973" s="48"/>
    </row>
    <row r="974" spans="6:6" s="4" customFormat="1" ht="12.75" customHeight="1">
      <c r="F974" s="48"/>
    </row>
    <row r="975" spans="6:6" s="4" customFormat="1" ht="12.75" customHeight="1">
      <c r="F975" s="48"/>
    </row>
    <row r="976" spans="6:6" s="4" customFormat="1" ht="12.75" customHeight="1">
      <c r="F976" s="48"/>
    </row>
    <row r="977" spans="6:6" s="4" customFormat="1" ht="12.75" customHeight="1">
      <c r="F977" s="48"/>
    </row>
    <row r="978" spans="6:6" s="4" customFormat="1" ht="12.75" customHeight="1">
      <c r="F978" s="48"/>
    </row>
    <row r="979" spans="6:6" s="4" customFormat="1" ht="12.75" customHeight="1">
      <c r="F979" s="48"/>
    </row>
    <row r="980" spans="6:6" s="4" customFormat="1" ht="12.75" customHeight="1">
      <c r="F980" s="48"/>
    </row>
    <row r="981" spans="6:6" s="4" customFormat="1" ht="12.75" customHeight="1">
      <c r="F981" s="48"/>
    </row>
    <row r="982" spans="6:6" s="4" customFormat="1" ht="12.75" customHeight="1">
      <c r="F982" s="48"/>
    </row>
    <row r="983" spans="6:6" s="4" customFormat="1" ht="12.75" customHeight="1">
      <c r="F983" s="48"/>
    </row>
    <row r="984" spans="6:6" s="4" customFormat="1" ht="12.75" customHeight="1">
      <c r="F984" s="48"/>
    </row>
    <row r="985" spans="6:6" s="4" customFormat="1" ht="12.75" customHeight="1">
      <c r="F985" s="48"/>
    </row>
    <row r="986" spans="6:6" s="4" customFormat="1" ht="12.75" customHeight="1">
      <c r="F986" s="48"/>
    </row>
    <row r="987" spans="6:6" s="4" customFormat="1" ht="12.75" customHeight="1">
      <c r="F987" s="48"/>
    </row>
    <row r="988" spans="6:6" s="4" customFormat="1" ht="12.75" customHeight="1">
      <c r="F988" s="48"/>
    </row>
    <row r="989" spans="6:6" s="4" customFormat="1" ht="12.75" customHeight="1">
      <c r="F989" s="48"/>
    </row>
    <row r="990" spans="6:6" s="4" customFormat="1" ht="12.75" customHeight="1">
      <c r="F990" s="48"/>
    </row>
    <row r="991" spans="6:6" s="4" customFormat="1" ht="12.75" customHeight="1">
      <c r="F991" s="48"/>
    </row>
    <row r="992" spans="6:6" s="4" customFormat="1" ht="12.75" customHeight="1">
      <c r="F992" s="48"/>
    </row>
    <row r="993" spans="6:6" s="4" customFormat="1" ht="12.75" customHeight="1">
      <c r="F993" s="48"/>
    </row>
    <row r="994" spans="6:6" s="4" customFormat="1" ht="12.75" customHeight="1">
      <c r="F994" s="48"/>
    </row>
    <row r="995" spans="6:6" s="4" customFormat="1" ht="12.75" customHeight="1">
      <c r="F995" s="48"/>
    </row>
    <row r="996" spans="6:6" s="4" customFormat="1" ht="12.75" customHeight="1">
      <c r="F996" s="48"/>
    </row>
    <row r="997" spans="6:6" s="4" customFormat="1" ht="12.75" customHeight="1">
      <c r="F997" s="48"/>
    </row>
    <row r="998" spans="6:6" s="4" customFormat="1" ht="12.75" customHeight="1">
      <c r="F998" s="48"/>
    </row>
    <row r="999" spans="6:6" s="4" customFormat="1" ht="12.75" customHeight="1">
      <c r="F999" s="48"/>
    </row>
    <row r="1000" spans="6:6" s="4" customFormat="1" ht="12.75" customHeight="1">
      <c r="F1000" s="48"/>
    </row>
    <row r="1001" spans="6:6" s="4" customFormat="1" ht="12.75" customHeight="1">
      <c r="F1001" s="48"/>
    </row>
    <row r="1002" spans="6:6" s="4" customFormat="1" ht="12.75" customHeight="1">
      <c r="F1002" s="48"/>
    </row>
    <row r="1003" spans="6:6" s="4" customFormat="1" ht="12.75" customHeight="1">
      <c r="F1003" s="48"/>
    </row>
    <row r="1004" spans="6:6" s="4" customFormat="1" ht="12.75" customHeight="1">
      <c r="F1004" s="48"/>
    </row>
    <row r="1005" spans="6:6" s="4" customFormat="1" ht="12.75" customHeight="1">
      <c r="F1005" s="48"/>
    </row>
    <row r="1006" spans="6:6" s="4" customFormat="1" ht="12.75" customHeight="1">
      <c r="F1006" s="48"/>
    </row>
    <row r="1007" spans="6:6" s="4" customFormat="1" ht="12.75" customHeight="1">
      <c r="F1007" s="48"/>
    </row>
    <row r="1008" spans="6:6" s="4" customFormat="1" ht="12.75" customHeight="1">
      <c r="F1008" s="48"/>
    </row>
    <row r="1009" spans="6:6" s="4" customFormat="1" ht="12.75" customHeight="1">
      <c r="F1009" s="48"/>
    </row>
    <row r="1010" spans="6:6" s="4" customFormat="1" ht="12.75" customHeight="1">
      <c r="F1010" s="48"/>
    </row>
    <row r="1011" spans="6:6" s="4" customFormat="1" ht="12.75" customHeight="1">
      <c r="F1011" s="48"/>
    </row>
    <row r="1012" spans="6:6" s="4" customFormat="1" ht="12.75" customHeight="1">
      <c r="F1012" s="48"/>
    </row>
    <row r="1013" spans="6:6" s="4" customFormat="1" ht="12.75" customHeight="1">
      <c r="F1013" s="48"/>
    </row>
    <row r="1014" spans="6:6" s="4" customFormat="1" ht="12.75" customHeight="1">
      <c r="F1014" s="48"/>
    </row>
    <row r="1015" spans="6:6" s="4" customFormat="1" ht="12.75" customHeight="1">
      <c r="F1015" s="48"/>
    </row>
    <row r="1016" spans="6:6" s="4" customFormat="1" ht="12.75" customHeight="1">
      <c r="F1016" s="48"/>
    </row>
    <row r="1017" spans="6:6" s="4" customFormat="1" ht="12.75" customHeight="1">
      <c r="F1017" s="48"/>
    </row>
    <row r="1018" spans="6:6" s="4" customFormat="1" ht="12.75" customHeight="1">
      <c r="F1018" s="48"/>
    </row>
    <row r="1019" spans="6:6" s="4" customFormat="1" ht="12.75" customHeight="1">
      <c r="F1019" s="48"/>
    </row>
    <row r="1020" spans="6:6" s="4" customFormat="1" ht="12.75" customHeight="1">
      <c r="F1020" s="48"/>
    </row>
    <row r="1021" spans="6:6" s="4" customFormat="1" ht="12.75" customHeight="1">
      <c r="F1021" s="48"/>
    </row>
    <row r="1022" spans="6:6" s="4" customFormat="1" ht="12.75" customHeight="1">
      <c r="F1022" s="48"/>
    </row>
    <row r="1023" spans="6:6" s="4" customFormat="1" ht="12.75" customHeight="1">
      <c r="F1023" s="48"/>
    </row>
    <row r="1024" spans="6:6" s="4" customFormat="1" ht="12.75" customHeight="1">
      <c r="F1024" s="48"/>
    </row>
    <row r="1025" spans="6:6" s="4" customFormat="1" ht="12.75" customHeight="1">
      <c r="F1025" s="48"/>
    </row>
    <row r="1026" spans="6:6" s="4" customFormat="1" ht="12.75" customHeight="1">
      <c r="F1026" s="48"/>
    </row>
    <row r="1027" spans="6:6" s="4" customFormat="1" ht="12.75" customHeight="1">
      <c r="F1027" s="48"/>
    </row>
    <row r="1028" spans="6:6" s="4" customFormat="1" ht="12.75" customHeight="1">
      <c r="F1028" s="48"/>
    </row>
    <row r="1029" spans="6:6" s="4" customFormat="1" ht="12.75" customHeight="1">
      <c r="F1029" s="48"/>
    </row>
    <row r="1030" spans="6:6" s="4" customFormat="1" ht="12.75" customHeight="1">
      <c r="F1030" s="48"/>
    </row>
    <row r="1031" spans="6:6" s="4" customFormat="1" ht="12.75" customHeight="1">
      <c r="F1031" s="48"/>
    </row>
    <row r="1032" spans="6:6" s="4" customFormat="1" ht="12.75" customHeight="1">
      <c r="F1032" s="48"/>
    </row>
    <row r="1033" spans="6:6" s="4" customFormat="1" ht="12.75" customHeight="1">
      <c r="F1033" s="48"/>
    </row>
    <row r="1034" spans="6:6" s="4" customFormat="1" ht="12.75" customHeight="1">
      <c r="F1034" s="48"/>
    </row>
    <row r="1035" spans="6:6" s="4" customFormat="1" ht="12.75" customHeight="1">
      <c r="F1035" s="48"/>
    </row>
    <row r="1036" spans="6:6" s="4" customFormat="1" ht="12.75" customHeight="1">
      <c r="F1036" s="48"/>
    </row>
    <row r="1037" spans="6:6" s="4" customFormat="1" ht="12.75" customHeight="1">
      <c r="F1037" s="48"/>
    </row>
    <row r="1038" spans="6:6" s="4" customFormat="1" ht="12.75" customHeight="1">
      <c r="F1038" s="48"/>
    </row>
    <row r="1039" spans="6:6" s="4" customFormat="1" ht="12.75" customHeight="1">
      <c r="F1039" s="48"/>
    </row>
    <row r="1040" spans="6:6" s="4" customFormat="1" ht="12.75" customHeight="1">
      <c r="F1040" s="48"/>
    </row>
    <row r="1041" spans="6:6" s="4" customFormat="1" ht="12.75" customHeight="1">
      <c r="F1041" s="48"/>
    </row>
    <row r="1042" spans="6:6" s="4" customFormat="1" ht="12.75" customHeight="1">
      <c r="F1042" s="48"/>
    </row>
    <row r="1043" spans="6:6" s="4" customFormat="1" ht="12.75" customHeight="1">
      <c r="F1043" s="48"/>
    </row>
    <row r="1044" spans="6:6" s="4" customFormat="1" ht="12.75" customHeight="1">
      <c r="F1044" s="48"/>
    </row>
    <row r="1045" spans="6:6" s="4" customFormat="1" ht="12.75" customHeight="1">
      <c r="F1045" s="48"/>
    </row>
    <row r="1046" spans="6:6" s="4" customFormat="1" ht="12.75" customHeight="1">
      <c r="F1046" s="48"/>
    </row>
    <row r="1047" spans="6:6" s="4" customFormat="1" ht="12.75" customHeight="1">
      <c r="F1047" s="48"/>
    </row>
    <row r="1048" spans="6:6" s="4" customFormat="1" ht="12.75" customHeight="1">
      <c r="F1048" s="48"/>
    </row>
    <row r="1049" spans="6:6" s="4" customFormat="1" ht="12.75" customHeight="1">
      <c r="F1049" s="48"/>
    </row>
    <row r="1050" spans="6:6" s="4" customFormat="1" ht="12.75" customHeight="1">
      <c r="F1050" s="48"/>
    </row>
    <row r="1051" spans="6:6" s="4" customFormat="1" ht="12.75" customHeight="1">
      <c r="F1051" s="48"/>
    </row>
    <row r="1052" spans="6:6" s="4" customFormat="1" ht="12.75" customHeight="1">
      <c r="F1052" s="48"/>
    </row>
    <row r="1053" spans="6:6" s="4" customFormat="1" ht="12.75" customHeight="1">
      <c r="F1053" s="48"/>
    </row>
    <row r="1054" spans="6:6" s="4" customFormat="1" ht="12.75" customHeight="1">
      <c r="F1054" s="48"/>
    </row>
    <row r="1055" spans="6:6" s="4" customFormat="1" ht="12.75" customHeight="1">
      <c r="F1055" s="48"/>
    </row>
    <row r="1056" spans="6:6" s="4" customFormat="1" ht="12.75" customHeight="1">
      <c r="F1056" s="48"/>
    </row>
    <row r="1057" spans="6:6" s="4" customFormat="1" ht="12.75" customHeight="1">
      <c r="F1057" s="48"/>
    </row>
    <row r="1058" spans="6:6" s="4" customFormat="1" ht="12.75" customHeight="1">
      <c r="F1058" s="48"/>
    </row>
    <row r="1059" spans="6:6" s="4" customFormat="1" ht="12.75" customHeight="1">
      <c r="F1059" s="48"/>
    </row>
    <row r="1060" spans="6:6" s="4" customFormat="1" ht="12.75" customHeight="1">
      <c r="F1060" s="48"/>
    </row>
    <row r="1061" spans="6:6" s="4" customFormat="1" ht="12.75" customHeight="1">
      <c r="F1061" s="48"/>
    </row>
    <row r="1062" spans="6:6" s="4" customFormat="1" ht="12.75" customHeight="1">
      <c r="F1062" s="48"/>
    </row>
    <row r="1063" spans="6:6" s="4" customFormat="1" ht="12.75" customHeight="1">
      <c r="F1063" s="48"/>
    </row>
    <row r="1064" spans="6:6" s="4" customFormat="1" ht="12.75" customHeight="1">
      <c r="F1064" s="48"/>
    </row>
    <row r="1065" spans="6:6" s="4" customFormat="1" ht="12.75" customHeight="1">
      <c r="F1065" s="48"/>
    </row>
    <row r="1066" spans="6:6" s="4" customFormat="1" ht="12.75" customHeight="1">
      <c r="F1066" s="48"/>
    </row>
    <row r="1067" spans="6:6" s="4" customFormat="1" ht="12.75" customHeight="1">
      <c r="F1067" s="48"/>
    </row>
    <row r="1068" spans="6:6" s="4" customFormat="1" ht="12.75" customHeight="1">
      <c r="F1068" s="48"/>
    </row>
    <row r="1069" spans="6:6" s="4" customFormat="1" ht="12.75" customHeight="1">
      <c r="F1069" s="48"/>
    </row>
    <row r="1070" spans="6:6" s="4" customFormat="1" ht="12.75" customHeight="1">
      <c r="F1070" s="48"/>
    </row>
    <row r="1071" spans="6:6" s="4" customFormat="1" ht="12.75" customHeight="1">
      <c r="F1071" s="48"/>
    </row>
    <row r="1072" spans="6:6" s="4" customFormat="1" ht="12.75" customHeight="1">
      <c r="F1072" s="48"/>
    </row>
    <row r="1073" spans="6:6" s="4" customFormat="1" ht="12.75" customHeight="1">
      <c r="F1073" s="48"/>
    </row>
    <row r="1074" spans="6:6" s="4" customFormat="1" ht="12.75" customHeight="1">
      <c r="F1074" s="48"/>
    </row>
    <row r="1075" spans="6:6" s="4" customFormat="1" ht="12.75" customHeight="1">
      <c r="F1075" s="48"/>
    </row>
    <row r="1076" spans="6:6" s="4" customFormat="1" ht="12.75" customHeight="1">
      <c r="F1076" s="48"/>
    </row>
    <row r="1077" spans="6:6" s="4" customFormat="1" ht="12.75" customHeight="1">
      <c r="F1077" s="48"/>
    </row>
    <row r="1078" spans="6:6" s="4" customFormat="1" ht="12.75" customHeight="1">
      <c r="F1078" s="48"/>
    </row>
    <row r="1079" spans="6:6" s="4" customFormat="1" ht="12.75" customHeight="1">
      <c r="F1079" s="48"/>
    </row>
    <row r="1080" spans="6:6" s="4" customFormat="1" ht="12.75" customHeight="1">
      <c r="F1080" s="48"/>
    </row>
    <row r="1081" spans="6:6" s="4" customFormat="1" ht="12.75" customHeight="1">
      <c r="F1081" s="48"/>
    </row>
    <row r="1082" spans="6:6" s="4" customFormat="1" ht="12.75" customHeight="1">
      <c r="F1082" s="48"/>
    </row>
    <row r="1083" spans="6:6" s="4" customFormat="1" ht="12.75" customHeight="1">
      <c r="F1083" s="48"/>
    </row>
    <row r="1084" spans="6:6" s="4" customFormat="1" ht="12.75" customHeight="1">
      <c r="F1084" s="48"/>
    </row>
    <row r="1085" spans="6:6" s="4" customFormat="1" ht="12.75" customHeight="1">
      <c r="F1085" s="48"/>
    </row>
    <row r="1086" spans="6:6" s="4" customFormat="1" ht="12.75" customHeight="1">
      <c r="F1086" s="48"/>
    </row>
    <row r="1087" spans="6:6" s="4" customFormat="1" ht="12.75" customHeight="1">
      <c r="F1087" s="48"/>
    </row>
    <row r="1088" spans="6:6" s="4" customFormat="1" ht="12.75" customHeight="1">
      <c r="F1088" s="48"/>
    </row>
    <row r="1089" spans="6:6" s="4" customFormat="1" ht="12.75" customHeight="1">
      <c r="F1089" s="48"/>
    </row>
    <row r="1090" spans="6:6" s="4" customFormat="1" ht="12.75" customHeight="1">
      <c r="F1090" s="48"/>
    </row>
    <row r="1091" spans="6:6" s="4" customFormat="1" ht="12.75" customHeight="1">
      <c r="F1091" s="48"/>
    </row>
    <row r="1092" spans="6:6" s="4" customFormat="1" ht="12.75" customHeight="1">
      <c r="F1092" s="48"/>
    </row>
    <row r="1093" spans="6:6" s="4" customFormat="1" ht="12.75" customHeight="1">
      <c r="F1093" s="48"/>
    </row>
    <row r="1094" spans="6:6" s="4" customFormat="1" ht="12.75" customHeight="1">
      <c r="F1094" s="48"/>
    </row>
    <row r="1095" spans="6:6" s="4" customFormat="1" ht="12.75" customHeight="1">
      <c r="F1095" s="48"/>
    </row>
    <row r="1096" spans="6:6" s="4" customFormat="1" ht="12.75" customHeight="1">
      <c r="F1096" s="48"/>
    </row>
    <row r="1097" spans="6:6" s="4" customFormat="1" ht="12.75" customHeight="1">
      <c r="F1097" s="48"/>
    </row>
    <row r="1098" spans="6:6" s="4" customFormat="1" ht="12.75" customHeight="1">
      <c r="F1098" s="48"/>
    </row>
    <row r="1099" spans="6:6" s="4" customFormat="1" ht="12.75" customHeight="1">
      <c r="F1099" s="48"/>
    </row>
    <row r="1100" spans="6:6" s="4" customFormat="1" ht="12.75" customHeight="1">
      <c r="F1100" s="48"/>
    </row>
    <row r="1101" spans="6:6" s="4" customFormat="1" ht="12.75" customHeight="1">
      <c r="F1101" s="48"/>
    </row>
    <row r="1102" spans="6:6" s="4" customFormat="1" ht="12.75" customHeight="1">
      <c r="F1102" s="48"/>
    </row>
    <row r="1103" spans="6:6" s="4" customFormat="1" ht="12.75" customHeight="1">
      <c r="F1103" s="48"/>
    </row>
    <row r="1104" spans="6:6" s="4" customFormat="1" ht="12.75" customHeight="1">
      <c r="F1104" s="48"/>
    </row>
    <row r="1105" spans="6:6" s="4" customFormat="1" ht="12.75" customHeight="1">
      <c r="F1105" s="48"/>
    </row>
    <row r="1106" spans="6:6" s="4" customFormat="1" ht="12.75" customHeight="1">
      <c r="F1106" s="48"/>
    </row>
    <row r="1107" spans="6:6" s="4" customFormat="1" ht="12.75" customHeight="1">
      <c r="F1107" s="48"/>
    </row>
    <row r="1108" spans="6:6" s="4" customFormat="1" ht="12.75" customHeight="1">
      <c r="F1108" s="48"/>
    </row>
    <row r="1109" spans="6:6" s="4" customFormat="1" ht="12.75" customHeight="1">
      <c r="F1109" s="48"/>
    </row>
    <row r="1110" spans="6:6" s="4" customFormat="1" ht="12.75" customHeight="1">
      <c r="F1110" s="48"/>
    </row>
    <row r="1111" spans="6:6" s="4" customFormat="1" ht="12.75" customHeight="1">
      <c r="F1111" s="48"/>
    </row>
    <row r="1112" spans="6:6" s="4" customFormat="1" ht="12.75" customHeight="1">
      <c r="F1112" s="48"/>
    </row>
    <row r="1113" spans="6:6" s="4" customFormat="1" ht="12.75" customHeight="1">
      <c r="F1113" s="48"/>
    </row>
    <row r="1114" spans="6:6" s="4" customFormat="1" ht="12.75" customHeight="1">
      <c r="F1114" s="48"/>
    </row>
    <row r="1115" spans="6:6" s="4" customFormat="1" ht="12.75" customHeight="1">
      <c r="F1115" s="48"/>
    </row>
    <row r="1116" spans="6:6" s="4" customFormat="1" ht="12.75" customHeight="1">
      <c r="F1116" s="48"/>
    </row>
    <row r="1117" spans="6:6" s="4" customFormat="1" ht="12.75" customHeight="1">
      <c r="F1117" s="48"/>
    </row>
    <row r="1118" spans="6:6" s="4" customFormat="1" ht="12.75" customHeight="1">
      <c r="F1118" s="48"/>
    </row>
    <row r="1119" spans="6:6" s="4" customFormat="1" ht="12.75" customHeight="1">
      <c r="F1119" s="48"/>
    </row>
    <row r="1120" spans="6:6" s="4" customFormat="1" ht="12.75" customHeight="1">
      <c r="F1120" s="48"/>
    </row>
    <row r="1121" spans="6:6" s="4" customFormat="1" ht="12.75" customHeight="1">
      <c r="F1121" s="48"/>
    </row>
    <row r="1122" spans="6:6" s="4" customFormat="1" ht="12.75" customHeight="1">
      <c r="F1122" s="48"/>
    </row>
  </sheetData>
  <mergeCells count="4">
    <mergeCell ref="A4:F4"/>
    <mergeCell ref="A1:F1"/>
    <mergeCell ref="A2:F2"/>
    <mergeCell ref="A3:F3"/>
  </mergeCells>
  <phoneticPr fontId="13" type="noConversion"/>
  <pageMargins left="0.75" right="0.5" top="1" bottom="0.5" header="0.5" footer="0.5"/>
  <pageSetup scale="89" orientation="portrait" horizontalDpi="4294967295" verticalDpi="4294967295" r:id="rId1"/>
  <headerFooter alignWithMargins="0"/>
  <rowBreaks count="4" manualBreakCount="4">
    <brk id="52" max="16383" man="1"/>
    <brk id="97" max="5" man="1"/>
    <brk id="142" max="5" man="1"/>
    <brk id="187" max="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O110"/>
  <sheetViews>
    <sheetView workbookViewId="0">
      <selection activeCell="C100" sqref="C100"/>
    </sheetView>
  </sheetViews>
  <sheetFormatPr defaultColWidth="5.7109375" defaultRowHeight="15"/>
  <cols>
    <col min="1" max="1" width="42.28515625" style="4" customWidth="1"/>
    <col min="2" max="5" width="12.28515625" style="4" customWidth="1"/>
    <col min="6" max="6" width="13.42578125" style="97" bestFit="1" customWidth="1"/>
    <col min="7" max="7" width="0.42578125" style="4" hidden="1" customWidth="1"/>
    <col min="8" max="10" width="12.28515625" style="4" customWidth="1"/>
    <col min="11" max="11" width="13.42578125" style="4" bestFit="1" customWidth="1"/>
    <col min="12" max="12" width="14.140625" style="4" bestFit="1" customWidth="1"/>
    <col min="13" max="13" width="17.5703125" style="4" bestFit="1" customWidth="1"/>
    <col min="14" max="14" width="4" style="4" customWidth="1"/>
    <col min="15" max="15" width="13.42578125" style="4" bestFit="1" customWidth="1"/>
    <col min="16" max="256" width="5.7109375" style="4"/>
    <col min="257" max="257" width="42.28515625" style="4" customWidth="1"/>
    <col min="258" max="262" width="12.28515625" style="4" customWidth="1"/>
    <col min="263" max="263" width="0" style="4" hidden="1" customWidth="1"/>
    <col min="264" max="269" width="12.28515625" style="4" customWidth="1"/>
    <col min="270" max="270" width="15.7109375" style="4" customWidth="1"/>
    <col min="271" max="271" width="12.28515625" style="4" customWidth="1"/>
    <col min="272" max="512" width="5.7109375" style="4"/>
    <col min="513" max="513" width="42.28515625" style="4" customWidth="1"/>
    <col min="514" max="518" width="12.28515625" style="4" customWidth="1"/>
    <col min="519" max="519" width="0" style="4" hidden="1" customWidth="1"/>
    <col min="520" max="525" width="12.28515625" style="4" customWidth="1"/>
    <col min="526" max="526" width="15.7109375" style="4" customWidth="1"/>
    <col min="527" max="527" width="12.28515625" style="4" customWidth="1"/>
    <col min="528" max="768" width="5.7109375" style="4"/>
    <col min="769" max="769" width="42.28515625" style="4" customWidth="1"/>
    <col min="770" max="774" width="12.28515625" style="4" customWidth="1"/>
    <col min="775" max="775" width="0" style="4" hidden="1" customWidth="1"/>
    <col min="776" max="781" width="12.28515625" style="4" customWidth="1"/>
    <col min="782" max="782" width="15.7109375" style="4" customWidth="1"/>
    <col min="783" max="783" width="12.28515625" style="4" customWidth="1"/>
    <col min="784" max="1024" width="5.7109375" style="4"/>
    <col min="1025" max="1025" width="42.28515625" style="4" customWidth="1"/>
    <col min="1026" max="1030" width="12.28515625" style="4" customWidth="1"/>
    <col min="1031" max="1031" width="0" style="4" hidden="1" customWidth="1"/>
    <col min="1032" max="1037" width="12.28515625" style="4" customWidth="1"/>
    <col min="1038" max="1038" width="15.7109375" style="4" customWidth="1"/>
    <col min="1039" max="1039" width="12.28515625" style="4" customWidth="1"/>
    <col min="1040" max="1280" width="5.7109375" style="4"/>
    <col min="1281" max="1281" width="42.28515625" style="4" customWidth="1"/>
    <col min="1282" max="1286" width="12.28515625" style="4" customWidth="1"/>
    <col min="1287" max="1287" width="0" style="4" hidden="1" customWidth="1"/>
    <col min="1288" max="1293" width="12.28515625" style="4" customWidth="1"/>
    <col min="1294" max="1294" width="15.7109375" style="4" customWidth="1"/>
    <col min="1295" max="1295" width="12.28515625" style="4" customWidth="1"/>
    <col min="1296" max="1536" width="5.7109375" style="4"/>
    <col min="1537" max="1537" width="42.28515625" style="4" customWidth="1"/>
    <col min="1538" max="1542" width="12.28515625" style="4" customWidth="1"/>
    <col min="1543" max="1543" width="0" style="4" hidden="1" customWidth="1"/>
    <col min="1544" max="1549" width="12.28515625" style="4" customWidth="1"/>
    <col min="1550" max="1550" width="15.7109375" style="4" customWidth="1"/>
    <col min="1551" max="1551" width="12.28515625" style="4" customWidth="1"/>
    <col min="1552" max="1792" width="5.7109375" style="4"/>
    <col min="1793" max="1793" width="42.28515625" style="4" customWidth="1"/>
    <col min="1794" max="1798" width="12.28515625" style="4" customWidth="1"/>
    <col min="1799" max="1799" width="0" style="4" hidden="1" customWidth="1"/>
    <col min="1800" max="1805" width="12.28515625" style="4" customWidth="1"/>
    <col min="1806" max="1806" width="15.7109375" style="4" customWidth="1"/>
    <col min="1807" max="1807" width="12.28515625" style="4" customWidth="1"/>
    <col min="1808" max="2048" width="5.7109375" style="4"/>
    <col min="2049" max="2049" width="42.28515625" style="4" customWidth="1"/>
    <col min="2050" max="2054" width="12.28515625" style="4" customWidth="1"/>
    <col min="2055" max="2055" width="0" style="4" hidden="1" customWidth="1"/>
    <col min="2056" max="2061" width="12.28515625" style="4" customWidth="1"/>
    <col min="2062" max="2062" width="15.7109375" style="4" customWidth="1"/>
    <col min="2063" max="2063" width="12.28515625" style="4" customWidth="1"/>
    <col min="2064" max="2304" width="5.7109375" style="4"/>
    <col min="2305" max="2305" width="42.28515625" style="4" customWidth="1"/>
    <col min="2306" max="2310" width="12.28515625" style="4" customWidth="1"/>
    <col min="2311" max="2311" width="0" style="4" hidden="1" customWidth="1"/>
    <col min="2312" max="2317" width="12.28515625" style="4" customWidth="1"/>
    <col min="2318" max="2318" width="15.7109375" style="4" customWidth="1"/>
    <col min="2319" max="2319" width="12.28515625" style="4" customWidth="1"/>
    <col min="2320" max="2560" width="5.7109375" style="4"/>
    <col min="2561" max="2561" width="42.28515625" style="4" customWidth="1"/>
    <col min="2562" max="2566" width="12.28515625" style="4" customWidth="1"/>
    <col min="2567" max="2567" width="0" style="4" hidden="1" customWidth="1"/>
    <col min="2568" max="2573" width="12.28515625" style="4" customWidth="1"/>
    <col min="2574" max="2574" width="15.7109375" style="4" customWidth="1"/>
    <col min="2575" max="2575" width="12.28515625" style="4" customWidth="1"/>
    <col min="2576" max="2816" width="5.7109375" style="4"/>
    <col min="2817" max="2817" width="42.28515625" style="4" customWidth="1"/>
    <col min="2818" max="2822" width="12.28515625" style="4" customWidth="1"/>
    <col min="2823" max="2823" width="0" style="4" hidden="1" customWidth="1"/>
    <col min="2824" max="2829" width="12.28515625" style="4" customWidth="1"/>
    <col min="2830" max="2830" width="15.7109375" style="4" customWidth="1"/>
    <col min="2831" max="2831" width="12.28515625" style="4" customWidth="1"/>
    <col min="2832" max="3072" width="5.7109375" style="4"/>
    <col min="3073" max="3073" width="42.28515625" style="4" customWidth="1"/>
    <col min="3074" max="3078" width="12.28515625" style="4" customWidth="1"/>
    <col min="3079" max="3079" width="0" style="4" hidden="1" customWidth="1"/>
    <col min="3080" max="3085" width="12.28515625" style="4" customWidth="1"/>
    <col min="3086" max="3086" width="15.7109375" style="4" customWidth="1"/>
    <col min="3087" max="3087" width="12.28515625" style="4" customWidth="1"/>
    <col min="3088" max="3328" width="5.7109375" style="4"/>
    <col min="3329" max="3329" width="42.28515625" style="4" customWidth="1"/>
    <col min="3330" max="3334" width="12.28515625" style="4" customWidth="1"/>
    <col min="3335" max="3335" width="0" style="4" hidden="1" customWidth="1"/>
    <col min="3336" max="3341" width="12.28515625" style="4" customWidth="1"/>
    <col min="3342" max="3342" width="15.7109375" style="4" customWidth="1"/>
    <col min="3343" max="3343" width="12.28515625" style="4" customWidth="1"/>
    <col min="3344" max="3584" width="5.7109375" style="4"/>
    <col min="3585" max="3585" width="42.28515625" style="4" customWidth="1"/>
    <col min="3586" max="3590" width="12.28515625" style="4" customWidth="1"/>
    <col min="3591" max="3591" width="0" style="4" hidden="1" customWidth="1"/>
    <col min="3592" max="3597" width="12.28515625" style="4" customWidth="1"/>
    <col min="3598" max="3598" width="15.7109375" style="4" customWidth="1"/>
    <col min="3599" max="3599" width="12.28515625" style="4" customWidth="1"/>
    <col min="3600" max="3840" width="5.7109375" style="4"/>
    <col min="3841" max="3841" width="42.28515625" style="4" customWidth="1"/>
    <col min="3842" max="3846" width="12.28515625" style="4" customWidth="1"/>
    <col min="3847" max="3847" width="0" style="4" hidden="1" customWidth="1"/>
    <col min="3848" max="3853" width="12.28515625" style="4" customWidth="1"/>
    <col min="3854" max="3854" width="15.7109375" style="4" customWidth="1"/>
    <col min="3855" max="3855" width="12.28515625" style="4" customWidth="1"/>
    <col min="3856" max="4096" width="5.7109375" style="4"/>
    <col min="4097" max="4097" width="42.28515625" style="4" customWidth="1"/>
    <col min="4098" max="4102" width="12.28515625" style="4" customWidth="1"/>
    <col min="4103" max="4103" width="0" style="4" hidden="1" customWidth="1"/>
    <col min="4104" max="4109" width="12.28515625" style="4" customWidth="1"/>
    <col min="4110" max="4110" width="15.7109375" style="4" customWidth="1"/>
    <col min="4111" max="4111" width="12.28515625" style="4" customWidth="1"/>
    <col min="4112" max="4352" width="5.7109375" style="4"/>
    <col min="4353" max="4353" width="42.28515625" style="4" customWidth="1"/>
    <col min="4354" max="4358" width="12.28515625" style="4" customWidth="1"/>
    <col min="4359" max="4359" width="0" style="4" hidden="1" customWidth="1"/>
    <col min="4360" max="4365" width="12.28515625" style="4" customWidth="1"/>
    <col min="4366" max="4366" width="15.7109375" style="4" customWidth="1"/>
    <col min="4367" max="4367" width="12.28515625" style="4" customWidth="1"/>
    <col min="4368" max="4608" width="5.7109375" style="4"/>
    <col min="4609" max="4609" width="42.28515625" style="4" customWidth="1"/>
    <col min="4610" max="4614" width="12.28515625" style="4" customWidth="1"/>
    <col min="4615" max="4615" width="0" style="4" hidden="1" customWidth="1"/>
    <col min="4616" max="4621" width="12.28515625" style="4" customWidth="1"/>
    <col min="4622" max="4622" width="15.7109375" style="4" customWidth="1"/>
    <col min="4623" max="4623" width="12.28515625" style="4" customWidth="1"/>
    <col min="4624" max="4864" width="5.7109375" style="4"/>
    <col min="4865" max="4865" width="42.28515625" style="4" customWidth="1"/>
    <col min="4866" max="4870" width="12.28515625" style="4" customWidth="1"/>
    <col min="4871" max="4871" width="0" style="4" hidden="1" customWidth="1"/>
    <col min="4872" max="4877" width="12.28515625" style="4" customWidth="1"/>
    <col min="4878" max="4878" width="15.7109375" style="4" customWidth="1"/>
    <col min="4879" max="4879" width="12.28515625" style="4" customWidth="1"/>
    <col min="4880" max="5120" width="5.7109375" style="4"/>
    <col min="5121" max="5121" width="42.28515625" style="4" customWidth="1"/>
    <col min="5122" max="5126" width="12.28515625" style="4" customWidth="1"/>
    <col min="5127" max="5127" width="0" style="4" hidden="1" customWidth="1"/>
    <col min="5128" max="5133" width="12.28515625" style="4" customWidth="1"/>
    <col min="5134" max="5134" width="15.7109375" style="4" customWidth="1"/>
    <col min="5135" max="5135" width="12.28515625" style="4" customWidth="1"/>
    <col min="5136" max="5376" width="5.7109375" style="4"/>
    <col min="5377" max="5377" width="42.28515625" style="4" customWidth="1"/>
    <col min="5378" max="5382" width="12.28515625" style="4" customWidth="1"/>
    <col min="5383" max="5383" width="0" style="4" hidden="1" customWidth="1"/>
    <col min="5384" max="5389" width="12.28515625" style="4" customWidth="1"/>
    <col min="5390" max="5390" width="15.7109375" style="4" customWidth="1"/>
    <col min="5391" max="5391" width="12.28515625" style="4" customWidth="1"/>
    <col min="5392" max="5632" width="5.7109375" style="4"/>
    <col min="5633" max="5633" width="42.28515625" style="4" customWidth="1"/>
    <col min="5634" max="5638" width="12.28515625" style="4" customWidth="1"/>
    <col min="5639" max="5639" width="0" style="4" hidden="1" customWidth="1"/>
    <col min="5640" max="5645" width="12.28515625" style="4" customWidth="1"/>
    <col min="5646" max="5646" width="15.7109375" style="4" customWidth="1"/>
    <col min="5647" max="5647" width="12.28515625" style="4" customWidth="1"/>
    <col min="5648" max="5888" width="5.7109375" style="4"/>
    <col min="5889" max="5889" width="42.28515625" style="4" customWidth="1"/>
    <col min="5890" max="5894" width="12.28515625" style="4" customWidth="1"/>
    <col min="5895" max="5895" width="0" style="4" hidden="1" customWidth="1"/>
    <col min="5896" max="5901" width="12.28515625" style="4" customWidth="1"/>
    <col min="5902" max="5902" width="15.7109375" style="4" customWidth="1"/>
    <col min="5903" max="5903" width="12.28515625" style="4" customWidth="1"/>
    <col min="5904" max="6144" width="5.7109375" style="4"/>
    <col min="6145" max="6145" width="42.28515625" style="4" customWidth="1"/>
    <col min="6146" max="6150" width="12.28515625" style="4" customWidth="1"/>
    <col min="6151" max="6151" width="0" style="4" hidden="1" customWidth="1"/>
    <col min="6152" max="6157" width="12.28515625" style="4" customWidth="1"/>
    <col min="6158" max="6158" width="15.7109375" style="4" customWidth="1"/>
    <col min="6159" max="6159" width="12.28515625" style="4" customWidth="1"/>
    <col min="6160" max="6400" width="5.7109375" style="4"/>
    <col min="6401" max="6401" width="42.28515625" style="4" customWidth="1"/>
    <col min="6402" max="6406" width="12.28515625" style="4" customWidth="1"/>
    <col min="6407" max="6407" width="0" style="4" hidden="1" customWidth="1"/>
    <col min="6408" max="6413" width="12.28515625" style="4" customWidth="1"/>
    <col min="6414" max="6414" width="15.7109375" style="4" customWidth="1"/>
    <col min="6415" max="6415" width="12.28515625" style="4" customWidth="1"/>
    <col min="6416" max="6656" width="5.7109375" style="4"/>
    <col min="6657" max="6657" width="42.28515625" style="4" customWidth="1"/>
    <col min="6658" max="6662" width="12.28515625" style="4" customWidth="1"/>
    <col min="6663" max="6663" width="0" style="4" hidden="1" customWidth="1"/>
    <col min="6664" max="6669" width="12.28515625" style="4" customWidth="1"/>
    <col min="6670" max="6670" width="15.7109375" style="4" customWidth="1"/>
    <col min="6671" max="6671" width="12.28515625" style="4" customWidth="1"/>
    <col min="6672" max="6912" width="5.7109375" style="4"/>
    <col min="6913" max="6913" width="42.28515625" style="4" customWidth="1"/>
    <col min="6914" max="6918" width="12.28515625" style="4" customWidth="1"/>
    <col min="6919" max="6919" width="0" style="4" hidden="1" customWidth="1"/>
    <col min="6920" max="6925" width="12.28515625" style="4" customWidth="1"/>
    <col min="6926" max="6926" width="15.7109375" style="4" customWidth="1"/>
    <col min="6927" max="6927" width="12.28515625" style="4" customWidth="1"/>
    <col min="6928" max="7168" width="5.7109375" style="4"/>
    <col min="7169" max="7169" width="42.28515625" style="4" customWidth="1"/>
    <col min="7170" max="7174" width="12.28515625" style="4" customWidth="1"/>
    <col min="7175" max="7175" width="0" style="4" hidden="1" customWidth="1"/>
    <col min="7176" max="7181" width="12.28515625" style="4" customWidth="1"/>
    <col min="7182" max="7182" width="15.7109375" style="4" customWidth="1"/>
    <col min="7183" max="7183" width="12.28515625" style="4" customWidth="1"/>
    <col min="7184" max="7424" width="5.7109375" style="4"/>
    <col min="7425" max="7425" width="42.28515625" style="4" customWidth="1"/>
    <col min="7426" max="7430" width="12.28515625" style="4" customWidth="1"/>
    <col min="7431" max="7431" width="0" style="4" hidden="1" customWidth="1"/>
    <col min="7432" max="7437" width="12.28515625" style="4" customWidth="1"/>
    <col min="7438" max="7438" width="15.7109375" style="4" customWidth="1"/>
    <col min="7439" max="7439" width="12.28515625" style="4" customWidth="1"/>
    <col min="7440" max="7680" width="5.7109375" style="4"/>
    <col min="7681" max="7681" width="42.28515625" style="4" customWidth="1"/>
    <col min="7682" max="7686" width="12.28515625" style="4" customWidth="1"/>
    <col min="7687" max="7687" width="0" style="4" hidden="1" customWidth="1"/>
    <col min="7688" max="7693" width="12.28515625" style="4" customWidth="1"/>
    <col min="7694" max="7694" width="15.7109375" style="4" customWidth="1"/>
    <col min="7695" max="7695" width="12.28515625" style="4" customWidth="1"/>
    <col min="7696" max="7936" width="5.7109375" style="4"/>
    <col min="7937" max="7937" width="42.28515625" style="4" customWidth="1"/>
    <col min="7938" max="7942" width="12.28515625" style="4" customWidth="1"/>
    <col min="7943" max="7943" width="0" style="4" hidden="1" customWidth="1"/>
    <col min="7944" max="7949" width="12.28515625" style="4" customWidth="1"/>
    <col min="7950" max="7950" width="15.7109375" style="4" customWidth="1"/>
    <col min="7951" max="7951" width="12.28515625" style="4" customWidth="1"/>
    <col min="7952" max="8192" width="5.7109375" style="4"/>
    <col min="8193" max="8193" width="42.28515625" style="4" customWidth="1"/>
    <col min="8194" max="8198" width="12.28515625" style="4" customWidth="1"/>
    <col min="8199" max="8199" width="0" style="4" hidden="1" customWidth="1"/>
    <col min="8200" max="8205" width="12.28515625" style="4" customWidth="1"/>
    <col min="8206" max="8206" width="15.7109375" style="4" customWidth="1"/>
    <col min="8207" max="8207" width="12.28515625" style="4" customWidth="1"/>
    <col min="8208" max="8448" width="5.7109375" style="4"/>
    <col min="8449" max="8449" width="42.28515625" style="4" customWidth="1"/>
    <col min="8450" max="8454" width="12.28515625" style="4" customWidth="1"/>
    <col min="8455" max="8455" width="0" style="4" hidden="1" customWidth="1"/>
    <col min="8456" max="8461" width="12.28515625" style="4" customWidth="1"/>
    <col min="8462" max="8462" width="15.7109375" style="4" customWidth="1"/>
    <col min="8463" max="8463" width="12.28515625" style="4" customWidth="1"/>
    <col min="8464" max="8704" width="5.7109375" style="4"/>
    <col min="8705" max="8705" width="42.28515625" style="4" customWidth="1"/>
    <col min="8706" max="8710" width="12.28515625" style="4" customWidth="1"/>
    <col min="8711" max="8711" width="0" style="4" hidden="1" customWidth="1"/>
    <col min="8712" max="8717" width="12.28515625" style="4" customWidth="1"/>
    <col min="8718" max="8718" width="15.7109375" style="4" customWidth="1"/>
    <col min="8719" max="8719" width="12.28515625" style="4" customWidth="1"/>
    <col min="8720" max="8960" width="5.7109375" style="4"/>
    <col min="8961" max="8961" width="42.28515625" style="4" customWidth="1"/>
    <col min="8962" max="8966" width="12.28515625" style="4" customWidth="1"/>
    <col min="8967" max="8967" width="0" style="4" hidden="1" customWidth="1"/>
    <col min="8968" max="8973" width="12.28515625" style="4" customWidth="1"/>
    <col min="8974" max="8974" width="15.7109375" style="4" customWidth="1"/>
    <col min="8975" max="8975" width="12.28515625" style="4" customWidth="1"/>
    <col min="8976" max="9216" width="5.7109375" style="4"/>
    <col min="9217" max="9217" width="42.28515625" style="4" customWidth="1"/>
    <col min="9218" max="9222" width="12.28515625" style="4" customWidth="1"/>
    <col min="9223" max="9223" width="0" style="4" hidden="1" customWidth="1"/>
    <col min="9224" max="9229" width="12.28515625" style="4" customWidth="1"/>
    <col min="9230" max="9230" width="15.7109375" style="4" customWidth="1"/>
    <col min="9231" max="9231" width="12.28515625" style="4" customWidth="1"/>
    <col min="9232" max="9472" width="5.7109375" style="4"/>
    <col min="9473" max="9473" width="42.28515625" style="4" customWidth="1"/>
    <col min="9474" max="9478" width="12.28515625" style="4" customWidth="1"/>
    <col min="9479" max="9479" width="0" style="4" hidden="1" customWidth="1"/>
    <col min="9480" max="9485" width="12.28515625" style="4" customWidth="1"/>
    <col min="9486" max="9486" width="15.7109375" style="4" customWidth="1"/>
    <col min="9487" max="9487" width="12.28515625" style="4" customWidth="1"/>
    <col min="9488" max="9728" width="5.7109375" style="4"/>
    <col min="9729" max="9729" width="42.28515625" style="4" customWidth="1"/>
    <col min="9730" max="9734" width="12.28515625" style="4" customWidth="1"/>
    <col min="9735" max="9735" width="0" style="4" hidden="1" customWidth="1"/>
    <col min="9736" max="9741" width="12.28515625" style="4" customWidth="1"/>
    <col min="9742" max="9742" width="15.7109375" style="4" customWidth="1"/>
    <col min="9743" max="9743" width="12.28515625" style="4" customWidth="1"/>
    <col min="9744" max="9984" width="5.7109375" style="4"/>
    <col min="9985" max="9985" width="42.28515625" style="4" customWidth="1"/>
    <col min="9986" max="9990" width="12.28515625" style="4" customWidth="1"/>
    <col min="9991" max="9991" width="0" style="4" hidden="1" customWidth="1"/>
    <col min="9992" max="9997" width="12.28515625" style="4" customWidth="1"/>
    <col min="9998" max="9998" width="15.7109375" style="4" customWidth="1"/>
    <col min="9999" max="9999" width="12.28515625" style="4" customWidth="1"/>
    <col min="10000" max="10240" width="5.7109375" style="4"/>
    <col min="10241" max="10241" width="42.28515625" style="4" customWidth="1"/>
    <col min="10242" max="10246" width="12.28515625" style="4" customWidth="1"/>
    <col min="10247" max="10247" width="0" style="4" hidden="1" customWidth="1"/>
    <col min="10248" max="10253" width="12.28515625" style="4" customWidth="1"/>
    <col min="10254" max="10254" width="15.7109375" style="4" customWidth="1"/>
    <col min="10255" max="10255" width="12.28515625" style="4" customWidth="1"/>
    <col min="10256" max="10496" width="5.7109375" style="4"/>
    <col min="10497" max="10497" width="42.28515625" style="4" customWidth="1"/>
    <col min="10498" max="10502" width="12.28515625" style="4" customWidth="1"/>
    <col min="10503" max="10503" width="0" style="4" hidden="1" customWidth="1"/>
    <col min="10504" max="10509" width="12.28515625" style="4" customWidth="1"/>
    <col min="10510" max="10510" width="15.7109375" style="4" customWidth="1"/>
    <col min="10511" max="10511" width="12.28515625" style="4" customWidth="1"/>
    <col min="10512" max="10752" width="5.7109375" style="4"/>
    <col min="10753" max="10753" width="42.28515625" style="4" customWidth="1"/>
    <col min="10754" max="10758" width="12.28515625" style="4" customWidth="1"/>
    <col min="10759" max="10759" width="0" style="4" hidden="1" customWidth="1"/>
    <col min="10760" max="10765" width="12.28515625" style="4" customWidth="1"/>
    <col min="10766" max="10766" width="15.7109375" style="4" customWidth="1"/>
    <col min="10767" max="10767" width="12.28515625" style="4" customWidth="1"/>
    <col min="10768" max="11008" width="5.7109375" style="4"/>
    <col min="11009" max="11009" width="42.28515625" style="4" customWidth="1"/>
    <col min="11010" max="11014" width="12.28515625" style="4" customWidth="1"/>
    <col min="11015" max="11015" width="0" style="4" hidden="1" customWidth="1"/>
    <col min="11016" max="11021" width="12.28515625" style="4" customWidth="1"/>
    <col min="11022" max="11022" width="15.7109375" style="4" customWidth="1"/>
    <col min="11023" max="11023" width="12.28515625" style="4" customWidth="1"/>
    <col min="11024" max="11264" width="5.7109375" style="4"/>
    <col min="11265" max="11265" width="42.28515625" style="4" customWidth="1"/>
    <col min="11266" max="11270" width="12.28515625" style="4" customWidth="1"/>
    <col min="11271" max="11271" width="0" style="4" hidden="1" customWidth="1"/>
    <col min="11272" max="11277" width="12.28515625" style="4" customWidth="1"/>
    <col min="11278" max="11278" width="15.7109375" style="4" customWidth="1"/>
    <col min="11279" max="11279" width="12.28515625" style="4" customWidth="1"/>
    <col min="11280" max="11520" width="5.7109375" style="4"/>
    <col min="11521" max="11521" width="42.28515625" style="4" customWidth="1"/>
    <col min="11522" max="11526" width="12.28515625" style="4" customWidth="1"/>
    <col min="11527" max="11527" width="0" style="4" hidden="1" customWidth="1"/>
    <col min="11528" max="11533" width="12.28515625" style="4" customWidth="1"/>
    <col min="11534" max="11534" width="15.7109375" style="4" customWidth="1"/>
    <col min="11535" max="11535" width="12.28515625" style="4" customWidth="1"/>
    <col min="11536" max="11776" width="5.7109375" style="4"/>
    <col min="11777" max="11777" width="42.28515625" style="4" customWidth="1"/>
    <col min="11778" max="11782" width="12.28515625" style="4" customWidth="1"/>
    <col min="11783" max="11783" width="0" style="4" hidden="1" customWidth="1"/>
    <col min="11784" max="11789" width="12.28515625" style="4" customWidth="1"/>
    <col min="11790" max="11790" width="15.7109375" style="4" customWidth="1"/>
    <col min="11791" max="11791" width="12.28515625" style="4" customWidth="1"/>
    <col min="11792" max="12032" width="5.7109375" style="4"/>
    <col min="12033" max="12033" width="42.28515625" style="4" customWidth="1"/>
    <col min="12034" max="12038" width="12.28515625" style="4" customWidth="1"/>
    <col min="12039" max="12039" width="0" style="4" hidden="1" customWidth="1"/>
    <col min="12040" max="12045" width="12.28515625" style="4" customWidth="1"/>
    <col min="12046" max="12046" width="15.7109375" style="4" customWidth="1"/>
    <col min="12047" max="12047" width="12.28515625" style="4" customWidth="1"/>
    <col min="12048" max="12288" width="5.7109375" style="4"/>
    <col min="12289" max="12289" width="42.28515625" style="4" customWidth="1"/>
    <col min="12290" max="12294" width="12.28515625" style="4" customWidth="1"/>
    <col min="12295" max="12295" width="0" style="4" hidden="1" customWidth="1"/>
    <col min="12296" max="12301" width="12.28515625" style="4" customWidth="1"/>
    <col min="12302" max="12302" width="15.7109375" style="4" customWidth="1"/>
    <col min="12303" max="12303" width="12.28515625" style="4" customWidth="1"/>
    <col min="12304" max="12544" width="5.7109375" style="4"/>
    <col min="12545" max="12545" width="42.28515625" style="4" customWidth="1"/>
    <col min="12546" max="12550" width="12.28515625" style="4" customWidth="1"/>
    <col min="12551" max="12551" width="0" style="4" hidden="1" customWidth="1"/>
    <col min="12552" max="12557" width="12.28515625" style="4" customWidth="1"/>
    <col min="12558" max="12558" width="15.7109375" style="4" customWidth="1"/>
    <col min="12559" max="12559" width="12.28515625" style="4" customWidth="1"/>
    <col min="12560" max="12800" width="5.7109375" style="4"/>
    <col min="12801" max="12801" width="42.28515625" style="4" customWidth="1"/>
    <col min="12802" max="12806" width="12.28515625" style="4" customWidth="1"/>
    <col min="12807" max="12807" width="0" style="4" hidden="1" customWidth="1"/>
    <col min="12808" max="12813" width="12.28515625" style="4" customWidth="1"/>
    <col min="12814" max="12814" width="15.7109375" style="4" customWidth="1"/>
    <col min="12815" max="12815" width="12.28515625" style="4" customWidth="1"/>
    <col min="12816" max="13056" width="5.7109375" style="4"/>
    <col min="13057" max="13057" width="42.28515625" style="4" customWidth="1"/>
    <col min="13058" max="13062" width="12.28515625" style="4" customWidth="1"/>
    <col min="13063" max="13063" width="0" style="4" hidden="1" customWidth="1"/>
    <col min="13064" max="13069" width="12.28515625" style="4" customWidth="1"/>
    <col min="13070" max="13070" width="15.7109375" style="4" customWidth="1"/>
    <col min="13071" max="13071" width="12.28515625" style="4" customWidth="1"/>
    <col min="13072" max="13312" width="5.7109375" style="4"/>
    <col min="13313" max="13313" width="42.28515625" style="4" customWidth="1"/>
    <col min="13314" max="13318" width="12.28515625" style="4" customWidth="1"/>
    <col min="13319" max="13319" width="0" style="4" hidden="1" customWidth="1"/>
    <col min="13320" max="13325" width="12.28515625" style="4" customWidth="1"/>
    <col min="13326" max="13326" width="15.7109375" style="4" customWidth="1"/>
    <col min="13327" max="13327" width="12.28515625" style="4" customWidth="1"/>
    <col min="13328" max="13568" width="5.7109375" style="4"/>
    <col min="13569" max="13569" width="42.28515625" style="4" customWidth="1"/>
    <col min="13570" max="13574" width="12.28515625" style="4" customWidth="1"/>
    <col min="13575" max="13575" width="0" style="4" hidden="1" customWidth="1"/>
    <col min="13576" max="13581" width="12.28515625" style="4" customWidth="1"/>
    <col min="13582" max="13582" width="15.7109375" style="4" customWidth="1"/>
    <col min="13583" max="13583" width="12.28515625" style="4" customWidth="1"/>
    <col min="13584" max="13824" width="5.7109375" style="4"/>
    <col min="13825" max="13825" width="42.28515625" style="4" customWidth="1"/>
    <col min="13826" max="13830" width="12.28515625" style="4" customWidth="1"/>
    <col min="13831" max="13831" width="0" style="4" hidden="1" customWidth="1"/>
    <col min="13832" max="13837" width="12.28515625" style="4" customWidth="1"/>
    <col min="13838" max="13838" width="15.7109375" style="4" customWidth="1"/>
    <col min="13839" max="13839" width="12.28515625" style="4" customWidth="1"/>
    <col min="13840" max="14080" width="5.7109375" style="4"/>
    <col min="14081" max="14081" width="42.28515625" style="4" customWidth="1"/>
    <col min="14082" max="14086" width="12.28515625" style="4" customWidth="1"/>
    <col min="14087" max="14087" width="0" style="4" hidden="1" customWidth="1"/>
    <col min="14088" max="14093" width="12.28515625" style="4" customWidth="1"/>
    <col min="14094" max="14094" width="15.7109375" style="4" customWidth="1"/>
    <col min="14095" max="14095" width="12.28515625" style="4" customWidth="1"/>
    <col min="14096" max="14336" width="5.7109375" style="4"/>
    <col min="14337" max="14337" width="42.28515625" style="4" customWidth="1"/>
    <col min="14338" max="14342" width="12.28515625" style="4" customWidth="1"/>
    <col min="14343" max="14343" width="0" style="4" hidden="1" customWidth="1"/>
    <col min="14344" max="14349" width="12.28515625" style="4" customWidth="1"/>
    <col min="14350" max="14350" width="15.7109375" style="4" customWidth="1"/>
    <col min="14351" max="14351" width="12.28515625" style="4" customWidth="1"/>
    <col min="14352" max="14592" width="5.7109375" style="4"/>
    <col min="14593" max="14593" width="42.28515625" style="4" customWidth="1"/>
    <col min="14594" max="14598" width="12.28515625" style="4" customWidth="1"/>
    <col min="14599" max="14599" width="0" style="4" hidden="1" customWidth="1"/>
    <col min="14600" max="14605" width="12.28515625" style="4" customWidth="1"/>
    <col min="14606" max="14606" width="15.7109375" style="4" customWidth="1"/>
    <col min="14607" max="14607" width="12.28515625" style="4" customWidth="1"/>
    <col min="14608" max="14848" width="5.7109375" style="4"/>
    <col min="14849" max="14849" width="42.28515625" style="4" customWidth="1"/>
    <col min="14850" max="14854" width="12.28515625" style="4" customWidth="1"/>
    <col min="14855" max="14855" width="0" style="4" hidden="1" customWidth="1"/>
    <col min="14856" max="14861" width="12.28515625" style="4" customWidth="1"/>
    <col min="14862" max="14862" width="15.7109375" style="4" customWidth="1"/>
    <col min="14863" max="14863" width="12.28515625" style="4" customWidth="1"/>
    <col min="14864" max="15104" width="5.7109375" style="4"/>
    <col min="15105" max="15105" width="42.28515625" style="4" customWidth="1"/>
    <col min="15106" max="15110" width="12.28515625" style="4" customWidth="1"/>
    <col min="15111" max="15111" width="0" style="4" hidden="1" customWidth="1"/>
    <col min="15112" max="15117" width="12.28515625" style="4" customWidth="1"/>
    <col min="15118" max="15118" width="15.7109375" style="4" customWidth="1"/>
    <col min="15119" max="15119" width="12.28515625" style="4" customWidth="1"/>
    <col min="15120" max="15360" width="5.7109375" style="4"/>
    <col min="15361" max="15361" width="42.28515625" style="4" customWidth="1"/>
    <col min="15362" max="15366" width="12.28515625" style="4" customWidth="1"/>
    <col min="15367" max="15367" width="0" style="4" hidden="1" customWidth="1"/>
    <col min="15368" max="15373" width="12.28515625" style="4" customWidth="1"/>
    <col min="15374" max="15374" width="15.7109375" style="4" customWidth="1"/>
    <col min="15375" max="15375" width="12.28515625" style="4" customWidth="1"/>
    <col min="15376" max="15616" width="5.7109375" style="4"/>
    <col min="15617" max="15617" width="42.28515625" style="4" customWidth="1"/>
    <col min="15618" max="15622" width="12.28515625" style="4" customWidth="1"/>
    <col min="15623" max="15623" width="0" style="4" hidden="1" customWidth="1"/>
    <col min="15624" max="15629" width="12.28515625" style="4" customWidth="1"/>
    <col min="15630" max="15630" width="15.7109375" style="4" customWidth="1"/>
    <col min="15631" max="15631" width="12.28515625" style="4" customWidth="1"/>
    <col min="15632" max="15872" width="5.7109375" style="4"/>
    <col min="15873" max="15873" width="42.28515625" style="4" customWidth="1"/>
    <col min="15874" max="15878" width="12.28515625" style="4" customWidth="1"/>
    <col min="15879" max="15879" width="0" style="4" hidden="1" customWidth="1"/>
    <col min="15880" max="15885" width="12.28515625" style="4" customWidth="1"/>
    <col min="15886" max="15886" width="15.7109375" style="4" customWidth="1"/>
    <col min="15887" max="15887" width="12.28515625" style="4" customWidth="1"/>
    <col min="15888" max="16128" width="5.7109375" style="4"/>
    <col min="16129" max="16129" width="42.28515625" style="4" customWidth="1"/>
    <col min="16130" max="16134" width="12.28515625" style="4" customWidth="1"/>
    <col min="16135" max="16135" width="0" style="4" hidden="1" customWidth="1"/>
    <col min="16136" max="16141" width="12.28515625" style="4" customWidth="1"/>
    <col min="16142" max="16142" width="15.7109375" style="4" customWidth="1"/>
    <col min="16143" max="16143" width="12.28515625" style="4" customWidth="1"/>
    <col min="16144" max="16384" width="5.7109375" style="4"/>
  </cols>
  <sheetData>
    <row r="1" spans="1:15" s="29" customFormat="1" ht="15.75">
      <c r="A1" s="213" t="s">
        <v>0</v>
      </c>
      <c r="B1" s="213"/>
      <c r="C1" s="213"/>
      <c r="D1" s="213"/>
      <c r="E1" s="213"/>
      <c r="F1" s="213"/>
      <c r="G1" s="213"/>
      <c r="H1" s="68"/>
    </row>
    <row r="2" spans="1:15" s="29" customFormat="1" ht="15.75">
      <c r="A2" s="212" t="s">
        <v>91</v>
      </c>
      <c r="B2" s="212"/>
      <c r="C2" s="212"/>
      <c r="D2" s="212"/>
      <c r="E2" s="212"/>
      <c r="F2" s="212"/>
      <c r="G2" s="212"/>
      <c r="H2" s="69"/>
    </row>
    <row r="3" spans="1:15" s="29" customFormat="1" ht="15.75">
      <c r="A3" s="213" t="s">
        <v>71</v>
      </c>
      <c r="B3" s="213"/>
      <c r="C3" s="213"/>
      <c r="D3" s="213"/>
      <c r="E3" s="213"/>
      <c r="F3" s="213"/>
      <c r="G3" s="213"/>
      <c r="H3" s="68"/>
    </row>
    <row r="4" spans="1:15" s="29" customFormat="1" ht="15.75">
      <c r="A4" s="206" t="s">
        <v>90</v>
      </c>
      <c r="B4" s="206"/>
      <c r="C4" s="206"/>
      <c r="D4" s="206"/>
      <c r="E4" s="206"/>
      <c r="F4" s="206"/>
      <c r="G4" s="206"/>
      <c r="H4" s="66"/>
    </row>
    <row r="5" spans="1:15" s="29" customFormat="1" ht="15.75">
      <c r="A5" s="66"/>
      <c r="B5" s="66"/>
      <c r="C5" s="66"/>
      <c r="D5" s="66"/>
      <c r="E5" s="66"/>
      <c r="F5" s="82" t="s">
        <v>92</v>
      </c>
      <c r="G5" s="30"/>
      <c r="O5" s="67"/>
    </row>
    <row r="6" spans="1:15" s="29" customFormat="1" ht="15.75">
      <c r="A6" s="66"/>
      <c r="B6" s="66"/>
      <c r="C6" s="66"/>
      <c r="D6" s="66"/>
      <c r="E6" s="66"/>
      <c r="F6" s="82" t="s">
        <v>93</v>
      </c>
      <c r="G6" s="30"/>
      <c r="O6" s="67"/>
    </row>
    <row r="7" spans="1:15" s="29" customFormat="1" ht="15.75">
      <c r="A7" s="66"/>
      <c r="B7" s="68" t="s">
        <v>94</v>
      </c>
      <c r="C7" s="68" t="s">
        <v>94</v>
      </c>
      <c r="D7" s="66"/>
      <c r="E7" s="66"/>
      <c r="F7" s="83" t="s">
        <v>95</v>
      </c>
      <c r="G7" s="30"/>
      <c r="K7" s="67"/>
      <c r="M7" s="67"/>
      <c r="O7" s="67" t="s">
        <v>64</v>
      </c>
    </row>
    <row r="8" spans="1:15" s="29" customFormat="1" ht="15.75">
      <c r="A8" s="31"/>
      <c r="B8" s="68" t="s">
        <v>96</v>
      </c>
      <c r="C8" s="68" t="s">
        <v>96</v>
      </c>
      <c r="D8" s="68" t="s">
        <v>97</v>
      </c>
      <c r="E8" s="68" t="s">
        <v>97</v>
      </c>
      <c r="F8" s="82" t="s">
        <v>98</v>
      </c>
      <c r="G8" s="70" t="s">
        <v>6</v>
      </c>
      <c r="H8" s="67" t="s">
        <v>99</v>
      </c>
      <c r="I8" s="67" t="s">
        <v>100</v>
      </c>
      <c r="J8" s="67" t="s">
        <v>100</v>
      </c>
      <c r="K8" s="81" t="s">
        <v>101</v>
      </c>
      <c r="L8" s="67" t="s">
        <v>101</v>
      </c>
      <c r="M8" s="67" t="s">
        <v>111</v>
      </c>
      <c r="N8" s="67"/>
      <c r="O8" s="67" t="s">
        <v>76</v>
      </c>
    </row>
    <row r="9" spans="1:15" s="29" customFormat="1" ht="15.75">
      <c r="A9" s="32"/>
      <c r="B9" s="68" t="s">
        <v>102</v>
      </c>
      <c r="C9" s="68" t="s">
        <v>103</v>
      </c>
      <c r="D9" s="68" t="s">
        <v>104</v>
      </c>
      <c r="E9" s="68" t="s">
        <v>105</v>
      </c>
      <c r="F9" s="82" t="s">
        <v>106</v>
      </c>
      <c r="G9" s="68" t="s">
        <v>4</v>
      </c>
      <c r="H9" s="71" t="s">
        <v>107</v>
      </c>
      <c r="I9" s="67" t="s">
        <v>108</v>
      </c>
      <c r="J9" s="67" t="s">
        <v>108</v>
      </c>
      <c r="K9" s="81" t="s">
        <v>109</v>
      </c>
      <c r="L9" s="67" t="s">
        <v>109</v>
      </c>
      <c r="M9" s="67" t="s">
        <v>112</v>
      </c>
      <c r="N9" s="67"/>
      <c r="O9" s="67" t="s">
        <v>77</v>
      </c>
    </row>
    <row r="10" spans="1:15" s="29" customFormat="1" ht="20.25">
      <c r="A10" s="34" t="s">
        <v>5</v>
      </c>
      <c r="B10" s="158">
        <v>211</v>
      </c>
      <c r="C10" s="72">
        <v>211</v>
      </c>
      <c r="D10" s="72">
        <v>224</v>
      </c>
      <c r="E10" s="72">
        <v>225</v>
      </c>
      <c r="F10" s="84">
        <v>240</v>
      </c>
      <c r="G10" s="35" t="s">
        <v>6</v>
      </c>
      <c r="H10" s="72">
        <v>244</v>
      </c>
      <c r="I10" s="72">
        <v>255</v>
      </c>
      <c r="J10" s="72">
        <v>263</v>
      </c>
      <c r="K10" s="72">
        <v>289</v>
      </c>
      <c r="L10" s="72">
        <v>461</v>
      </c>
      <c r="M10" s="72">
        <v>429481491</v>
      </c>
      <c r="N10" s="72"/>
      <c r="O10" s="73" t="s">
        <v>78</v>
      </c>
    </row>
    <row r="11" spans="1:15">
      <c r="A11" s="16" t="s">
        <v>7</v>
      </c>
      <c r="B11" s="17"/>
      <c r="C11" s="17"/>
      <c r="D11" s="17"/>
      <c r="E11" s="17"/>
      <c r="F11" s="60"/>
      <c r="G11" s="17"/>
    </row>
    <row r="12" spans="1:15">
      <c r="A12" s="17" t="s">
        <v>8</v>
      </c>
      <c r="B12" s="18">
        <f>0</f>
        <v>0</v>
      </c>
      <c r="C12" s="18">
        <f>0</f>
        <v>0</v>
      </c>
      <c r="D12" s="18">
        <f>0</f>
        <v>0</v>
      </c>
      <c r="E12" s="18">
        <f>0</f>
        <v>0</v>
      </c>
      <c r="F12" s="85">
        <v>7263901</v>
      </c>
      <c r="G12" s="74">
        <f>0</f>
        <v>0</v>
      </c>
      <c r="H12" s="18">
        <f>0</f>
        <v>0</v>
      </c>
      <c r="I12" s="18">
        <f>0</f>
        <v>0</v>
      </c>
      <c r="J12" s="18">
        <f>0</f>
        <v>0</v>
      </c>
      <c r="K12" s="18">
        <f>0</f>
        <v>0</v>
      </c>
      <c r="L12" s="18">
        <f>0</f>
        <v>0</v>
      </c>
      <c r="M12" s="18">
        <f>131138</f>
        <v>131138</v>
      </c>
      <c r="N12" s="18"/>
      <c r="O12" s="18">
        <f>SUM(B12:M12)</f>
        <v>7395039</v>
      </c>
    </row>
    <row r="13" spans="1:15">
      <c r="A13" s="17" t="s">
        <v>9</v>
      </c>
      <c r="B13" s="6">
        <f>0</f>
        <v>0</v>
      </c>
      <c r="C13" s="6">
        <f>0</f>
        <v>0</v>
      </c>
      <c r="D13" s="6">
        <f>0</f>
        <v>0</v>
      </c>
      <c r="E13" s="6">
        <f>0</f>
        <v>0</v>
      </c>
      <c r="F13" s="61">
        <v>31356</v>
      </c>
      <c r="G13" s="45">
        <f>0</f>
        <v>0</v>
      </c>
      <c r="H13" s="6">
        <f>0</f>
        <v>0</v>
      </c>
      <c r="I13" s="6">
        <f>0</f>
        <v>0</v>
      </c>
      <c r="J13" s="6">
        <f>0</f>
        <v>0</v>
      </c>
      <c r="K13" s="6">
        <f>0</f>
        <v>0</v>
      </c>
      <c r="L13" s="6">
        <f>0</f>
        <v>0</v>
      </c>
      <c r="M13" s="6">
        <f>0</f>
        <v>0</v>
      </c>
      <c r="N13" s="6"/>
      <c r="O13" s="6">
        <f>SUM(A13:M13)</f>
        <v>31356</v>
      </c>
    </row>
    <row r="14" spans="1:15" ht="17.25">
      <c r="A14" s="17" t="s">
        <v>10</v>
      </c>
      <c r="B14" s="19">
        <f>916071+91088.77</f>
        <v>1007159.77</v>
      </c>
      <c r="C14" s="19">
        <f>17473+11241.68</f>
        <v>28714.68</v>
      </c>
      <c r="D14" s="19">
        <f>3081440+407099.72</f>
        <v>3488539.7199999997</v>
      </c>
      <c r="E14" s="19">
        <f>26051+38821</f>
        <v>64872</v>
      </c>
      <c r="F14" s="62">
        <f>353741+2006764+532539</f>
        <v>2893044</v>
      </c>
      <c r="G14" s="75">
        <f>0</f>
        <v>0</v>
      </c>
      <c r="H14" s="19">
        <f>89539+75103.66</f>
        <v>164642.66</v>
      </c>
      <c r="I14" s="19">
        <f>249176+7223.73</f>
        <v>256399.73</v>
      </c>
      <c r="J14" s="19">
        <f>133983+34115.26</f>
        <v>168098.26</v>
      </c>
      <c r="K14" s="19">
        <f>36054.55+65634</f>
        <v>101688.55</v>
      </c>
      <c r="L14" s="19">
        <f>0</f>
        <v>0</v>
      </c>
      <c r="M14" s="19">
        <f>0</f>
        <v>0</v>
      </c>
      <c r="N14" s="19"/>
      <c r="O14" s="19">
        <f>SUM(A14:M14)</f>
        <v>8173159.3700000001</v>
      </c>
    </row>
    <row r="15" spans="1:15">
      <c r="A15" s="17"/>
      <c r="B15" s="60"/>
      <c r="C15" s="17"/>
      <c r="D15" s="17"/>
      <c r="E15" s="17"/>
      <c r="F15" s="60"/>
      <c r="G15" s="42"/>
      <c r="H15" s="17"/>
      <c r="I15" s="17"/>
      <c r="J15" s="17"/>
      <c r="K15" s="17"/>
      <c r="L15" s="17"/>
      <c r="M15" s="17"/>
      <c r="N15" s="17"/>
      <c r="O15" s="17"/>
    </row>
    <row r="16" spans="1:15" ht="17.25">
      <c r="A16" s="17" t="s">
        <v>11</v>
      </c>
      <c r="B16" s="20">
        <f t="shared" ref="B16:M16" si="0">SUM(B12:B14)</f>
        <v>1007159.77</v>
      </c>
      <c r="C16" s="20">
        <f t="shared" si="0"/>
        <v>28714.68</v>
      </c>
      <c r="D16" s="20">
        <f t="shared" si="0"/>
        <v>3488539.7199999997</v>
      </c>
      <c r="E16" s="20">
        <f t="shared" si="0"/>
        <v>64872</v>
      </c>
      <c r="F16" s="86">
        <f t="shared" si="0"/>
        <v>10188301</v>
      </c>
      <c r="G16" s="44">
        <f t="shared" si="0"/>
        <v>0</v>
      </c>
      <c r="H16" s="20">
        <f t="shared" si="0"/>
        <v>164642.66</v>
      </c>
      <c r="I16" s="20">
        <f t="shared" si="0"/>
        <v>256399.73</v>
      </c>
      <c r="J16" s="20">
        <f t="shared" si="0"/>
        <v>168098.26</v>
      </c>
      <c r="K16" s="20">
        <f t="shared" si="0"/>
        <v>101688.55</v>
      </c>
      <c r="L16" s="20">
        <f t="shared" si="0"/>
        <v>0</v>
      </c>
      <c r="M16" s="20">
        <f t="shared" si="0"/>
        <v>131138</v>
      </c>
      <c r="N16" s="20"/>
      <c r="O16" s="20">
        <f>SUM(O12:O14)</f>
        <v>15599554.370000001</v>
      </c>
    </row>
    <row r="17" spans="1:15">
      <c r="A17" s="17"/>
      <c r="B17" s="42"/>
      <c r="C17" s="42"/>
      <c r="D17" s="42"/>
      <c r="E17" s="42"/>
      <c r="F17" s="87"/>
      <c r="G17" s="42"/>
      <c r="H17" s="42"/>
      <c r="I17" s="42"/>
      <c r="J17" s="42"/>
      <c r="K17" s="42"/>
      <c r="L17" s="42"/>
      <c r="M17" s="42"/>
      <c r="N17" s="42"/>
      <c r="O17" s="42"/>
    </row>
    <row r="18" spans="1:15">
      <c r="A18" s="16" t="s">
        <v>12</v>
      </c>
      <c r="B18" s="17"/>
      <c r="C18" s="17"/>
      <c r="D18" s="42"/>
      <c r="E18" s="17"/>
      <c r="F18" s="87"/>
      <c r="G18" s="42"/>
      <c r="H18" s="42"/>
      <c r="I18" s="42"/>
      <c r="J18" s="42"/>
      <c r="K18" s="42"/>
      <c r="L18" s="42"/>
      <c r="M18" s="42"/>
      <c r="N18" s="42"/>
      <c r="O18" s="42"/>
    </row>
    <row r="19" spans="1:15">
      <c r="A19" s="17" t="s">
        <v>13</v>
      </c>
      <c r="B19" s="17"/>
      <c r="C19" s="17"/>
      <c r="D19" s="17"/>
      <c r="E19" s="17"/>
      <c r="F19" s="87"/>
      <c r="G19" s="42"/>
      <c r="H19" s="17"/>
      <c r="I19" s="17"/>
      <c r="J19" s="17"/>
      <c r="K19" s="42"/>
      <c r="L19" s="42"/>
      <c r="M19" s="17"/>
      <c r="N19" s="42"/>
      <c r="O19" s="17"/>
    </row>
    <row r="20" spans="1:15">
      <c r="A20" s="17" t="s">
        <v>14</v>
      </c>
      <c r="B20" s="9">
        <v>891738</v>
      </c>
      <c r="C20" s="9">
        <v>17473</v>
      </c>
      <c r="D20" s="9">
        <f>656432.04+209171.33</f>
        <v>865603.37</v>
      </c>
      <c r="E20" s="9">
        <f>26051+38821</f>
        <v>64872</v>
      </c>
      <c r="F20" s="88">
        <f>0</f>
        <v>0</v>
      </c>
      <c r="G20" s="76">
        <f>0</f>
        <v>0</v>
      </c>
      <c r="H20" s="9">
        <f>88679+75103.66</f>
        <v>163782.66</v>
      </c>
      <c r="I20" s="9">
        <f>249176+7223.73</f>
        <v>256399.73</v>
      </c>
      <c r="J20" s="9">
        <f>82518.82+34115.26</f>
        <v>116634.08000000002</v>
      </c>
      <c r="K20" s="9">
        <f>11100.55+40543</f>
        <v>51643.55</v>
      </c>
      <c r="L20" s="76">
        <f>0</f>
        <v>0</v>
      </c>
      <c r="M20" s="9">
        <v>38627.9</v>
      </c>
      <c r="N20" s="76"/>
      <c r="O20" s="6">
        <f t="shared" ref="O20:O28" si="1">SUM(A20:M20)</f>
        <v>2466774.29</v>
      </c>
    </row>
    <row r="21" spans="1:15">
      <c r="A21" s="17" t="s">
        <v>15</v>
      </c>
      <c r="B21" s="9">
        <f>0</f>
        <v>0</v>
      </c>
      <c r="C21" s="9">
        <v>0</v>
      </c>
      <c r="D21" s="9">
        <f>0</f>
        <v>0</v>
      </c>
      <c r="E21" s="9">
        <f>0</f>
        <v>0</v>
      </c>
      <c r="F21" s="88">
        <f>0</f>
        <v>0</v>
      </c>
      <c r="G21" s="76">
        <f>0</f>
        <v>0</v>
      </c>
      <c r="H21" s="9">
        <f>0</f>
        <v>0</v>
      </c>
      <c r="I21" s="9">
        <f>0</f>
        <v>0</v>
      </c>
      <c r="J21" s="9">
        <f>0</f>
        <v>0</v>
      </c>
      <c r="K21" s="9">
        <v>3534</v>
      </c>
      <c r="L21" s="76">
        <f>0</f>
        <v>0</v>
      </c>
      <c r="M21" s="9">
        <v>0</v>
      </c>
      <c r="N21" s="76"/>
      <c r="O21" s="6">
        <f t="shared" si="1"/>
        <v>3534</v>
      </c>
    </row>
    <row r="22" spans="1:15">
      <c r="A22" s="17" t="s">
        <v>16</v>
      </c>
      <c r="B22" s="9">
        <v>96000</v>
      </c>
      <c r="C22" s="9">
        <f>0</f>
        <v>0</v>
      </c>
      <c r="D22" s="9">
        <v>2593751</v>
      </c>
      <c r="E22" s="9">
        <f>0</f>
        <v>0</v>
      </c>
      <c r="F22" s="88">
        <v>10097785</v>
      </c>
      <c r="G22" s="76">
        <f>0</f>
        <v>0</v>
      </c>
      <c r="H22" s="9">
        <v>860</v>
      </c>
      <c r="I22" s="9">
        <f>0</f>
        <v>0</v>
      </c>
      <c r="J22" s="9">
        <f>0</f>
        <v>0</v>
      </c>
      <c r="K22" s="9">
        <f>4257+5657</f>
        <v>9914</v>
      </c>
      <c r="L22" s="9">
        <v>2984760.53</v>
      </c>
      <c r="M22" s="9">
        <f>5859.9+19629.84</f>
        <v>25489.739999999998</v>
      </c>
      <c r="N22" s="76"/>
      <c r="O22" s="6">
        <f t="shared" si="1"/>
        <v>15808560.27</v>
      </c>
    </row>
    <row r="23" spans="1:15">
      <c r="A23" s="17" t="s">
        <v>17</v>
      </c>
      <c r="B23" s="9">
        <f>0</f>
        <v>0</v>
      </c>
      <c r="C23" s="9">
        <f>0</f>
        <v>0</v>
      </c>
      <c r="D23" s="9">
        <f>0</f>
        <v>0</v>
      </c>
      <c r="E23" s="9">
        <f>0</f>
        <v>0</v>
      </c>
      <c r="F23" s="88">
        <f>0</f>
        <v>0</v>
      </c>
      <c r="G23" s="76">
        <f>0</f>
        <v>0</v>
      </c>
      <c r="H23" s="9">
        <f>0</f>
        <v>0</v>
      </c>
      <c r="I23" s="9">
        <f>0</f>
        <v>0</v>
      </c>
      <c r="J23" s="9">
        <f>0</f>
        <v>0</v>
      </c>
      <c r="K23" s="76">
        <f>0</f>
        <v>0</v>
      </c>
      <c r="L23" s="76">
        <f>0</f>
        <v>0</v>
      </c>
      <c r="M23" s="9">
        <v>131689.39000000001</v>
      </c>
      <c r="N23" s="76"/>
      <c r="O23" s="6">
        <f t="shared" si="1"/>
        <v>131689.39000000001</v>
      </c>
    </row>
    <row r="24" spans="1:15">
      <c r="A24" s="8" t="s">
        <v>54</v>
      </c>
      <c r="B24" s="9">
        <f>0</f>
        <v>0</v>
      </c>
      <c r="C24" s="9">
        <f>0</f>
        <v>0</v>
      </c>
      <c r="D24" s="9">
        <v>29186</v>
      </c>
      <c r="E24" s="9">
        <f>0</f>
        <v>0</v>
      </c>
      <c r="F24" s="88">
        <v>0</v>
      </c>
      <c r="G24" s="76">
        <f>0</f>
        <v>0</v>
      </c>
      <c r="H24" s="9">
        <f>0</f>
        <v>0</v>
      </c>
      <c r="I24" s="9">
        <f>0</f>
        <v>0</v>
      </c>
      <c r="J24" s="9">
        <f>0</f>
        <v>0</v>
      </c>
      <c r="K24" s="76">
        <f>0</f>
        <v>0</v>
      </c>
      <c r="L24" s="76">
        <f>0</f>
        <v>0</v>
      </c>
      <c r="M24" s="9">
        <v>255763</v>
      </c>
      <c r="N24" s="76"/>
      <c r="O24" s="6">
        <f t="shared" si="1"/>
        <v>284949</v>
      </c>
    </row>
    <row r="25" spans="1:15">
      <c r="A25" s="17" t="s">
        <v>19</v>
      </c>
      <c r="B25" s="9">
        <v>30663.759999999998</v>
      </c>
      <c r="C25" s="9">
        <f>0</f>
        <v>0</v>
      </c>
      <c r="D25" s="9">
        <f>0</f>
        <v>0</v>
      </c>
      <c r="E25" s="9">
        <f>0</f>
        <v>0</v>
      </c>
      <c r="F25" s="88">
        <f>0</f>
        <v>0</v>
      </c>
      <c r="G25" s="76">
        <f>0</f>
        <v>0</v>
      </c>
      <c r="H25" s="9">
        <f>0</f>
        <v>0</v>
      </c>
      <c r="I25" s="9">
        <f>0</f>
        <v>0</v>
      </c>
      <c r="J25" s="9">
        <v>51464.18</v>
      </c>
      <c r="K25" s="9">
        <v>36597</v>
      </c>
      <c r="L25" s="76">
        <f>0</f>
        <v>0</v>
      </c>
      <c r="M25" s="9">
        <v>0</v>
      </c>
      <c r="N25" s="76"/>
      <c r="O25" s="6">
        <f t="shared" si="1"/>
        <v>118724.94</v>
      </c>
    </row>
    <row r="26" spans="1:15">
      <c r="A26" s="8" t="s">
        <v>58</v>
      </c>
      <c r="B26" s="9">
        <f>0</f>
        <v>0</v>
      </c>
      <c r="C26" s="9">
        <f>0</f>
        <v>0</v>
      </c>
      <c r="D26" s="9">
        <f>0</f>
        <v>0</v>
      </c>
      <c r="E26" s="9">
        <f>0</f>
        <v>0</v>
      </c>
      <c r="F26" s="88">
        <f>0</f>
        <v>0</v>
      </c>
      <c r="G26" s="76">
        <f>0</f>
        <v>0</v>
      </c>
      <c r="H26" s="9">
        <f>0</f>
        <v>0</v>
      </c>
      <c r="I26" s="9">
        <f>0</f>
        <v>0</v>
      </c>
      <c r="J26" s="9">
        <f>0</f>
        <v>0</v>
      </c>
      <c r="K26" s="76">
        <f>0</f>
        <v>0</v>
      </c>
      <c r="L26" s="76">
        <f>0</f>
        <v>0</v>
      </c>
      <c r="M26" s="9">
        <f>0</f>
        <v>0</v>
      </c>
      <c r="N26" s="76"/>
      <c r="O26" s="6">
        <f t="shared" si="1"/>
        <v>0</v>
      </c>
    </row>
    <row r="27" spans="1:15">
      <c r="A27" s="17" t="s">
        <v>21</v>
      </c>
      <c r="B27" s="9">
        <f>0</f>
        <v>0</v>
      </c>
      <c r="C27" s="9">
        <f>0</f>
        <v>0</v>
      </c>
      <c r="D27" s="9">
        <f>0</f>
        <v>0</v>
      </c>
      <c r="E27" s="9">
        <f>0</f>
        <v>0</v>
      </c>
      <c r="F27" s="88">
        <f>0</f>
        <v>0</v>
      </c>
      <c r="G27" s="76">
        <f>0</f>
        <v>0</v>
      </c>
      <c r="H27" s="9">
        <f>0</f>
        <v>0</v>
      </c>
      <c r="I27" s="9">
        <f>0</f>
        <v>0</v>
      </c>
      <c r="J27" s="9">
        <f>0</f>
        <v>0</v>
      </c>
      <c r="K27" s="76">
        <f>0</f>
        <v>0</v>
      </c>
      <c r="L27" s="76">
        <f>0</f>
        <v>0</v>
      </c>
      <c r="M27" s="9">
        <f>0</f>
        <v>0</v>
      </c>
      <c r="N27" s="76"/>
      <c r="O27" s="6">
        <f t="shared" si="1"/>
        <v>0</v>
      </c>
    </row>
    <row r="28" spans="1:15" ht="17.25">
      <c r="A28" s="17" t="s">
        <v>22</v>
      </c>
      <c r="B28" s="10">
        <f>0</f>
        <v>0</v>
      </c>
      <c r="C28" s="10">
        <f>0</f>
        <v>0</v>
      </c>
      <c r="D28" s="10">
        <f>0</f>
        <v>0</v>
      </c>
      <c r="E28" s="10">
        <f>0</f>
        <v>0</v>
      </c>
      <c r="F28" s="89">
        <f>0</f>
        <v>0</v>
      </c>
      <c r="G28" s="77">
        <f>0</f>
        <v>0</v>
      </c>
      <c r="H28" s="10">
        <f>0</f>
        <v>0</v>
      </c>
      <c r="I28" s="10">
        <f>0</f>
        <v>0</v>
      </c>
      <c r="J28" s="10">
        <f>0</f>
        <v>0</v>
      </c>
      <c r="K28" s="77">
        <f>0</f>
        <v>0</v>
      </c>
      <c r="L28" s="77">
        <f>0</f>
        <v>0</v>
      </c>
      <c r="M28" s="10">
        <f>0</f>
        <v>0</v>
      </c>
      <c r="N28" s="77"/>
      <c r="O28" s="19">
        <f t="shared" si="1"/>
        <v>0</v>
      </c>
    </row>
    <row r="29" spans="1:15">
      <c r="A29" s="17"/>
      <c r="B29" s="17"/>
      <c r="C29" s="17"/>
      <c r="D29" s="17"/>
      <c r="E29" s="17"/>
      <c r="F29" s="60"/>
      <c r="G29" s="42"/>
      <c r="H29" s="17"/>
      <c r="I29" s="17"/>
      <c r="J29" s="17"/>
      <c r="K29" s="42"/>
      <c r="L29" s="42"/>
      <c r="M29" s="17"/>
      <c r="N29" s="42"/>
      <c r="O29" s="17"/>
    </row>
    <row r="30" spans="1:15" ht="17.25">
      <c r="A30" s="17" t="s">
        <v>23</v>
      </c>
      <c r="B30" s="20">
        <f t="shared" ref="B30:M30" si="2">SUM(B20:B28)</f>
        <v>1018401.76</v>
      </c>
      <c r="C30" s="20">
        <f t="shared" si="2"/>
        <v>17473</v>
      </c>
      <c r="D30" s="20">
        <f t="shared" si="2"/>
        <v>3488540.37</v>
      </c>
      <c r="E30" s="20">
        <f t="shared" si="2"/>
        <v>64872</v>
      </c>
      <c r="F30" s="86">
        <f t="shared" si="2"/>
        <v>10097785</v>
      </c>
      <c r="G30" s="44">
        <f t="shared" si="2"/>
        <v>0</v>
      </c>
      <c r="H30" s="20">
        <f t="shared" si="2"/>
        <v>164642.66</v>
      </c>
      <c r="I30" s="20">
        <f t="shared" si="2"/>
        <v>256399.73</v>
      </c>
      <c r="J30" s="20">
        <f t="shared" si="2"/>
        <v>168098.26</v>
      </c>
      <c r="K30" s="20">
        <f t="shared" si="2"/>
        <v>101688.55</v>
      </c>
      <c r="L30" s="20">
        <f t="shared" si="2"/>
        <v>2984760.53</v>
      </c>
      <c r="M30" s="20">
        <f t="shared" si="2"/>
        <v>451570.03</v>
      </c>
      <c r="N30" s="44"/>
      <c r="O30" s="20">
        <f>SUM(O20:O28)</f>
        <v>18814231.890000001</v>
      </c>
    </row>
    <row r="31" spans="1:15">
      <c r="A31" s="17"/>
      <c r="B31" s="17"/>
      <c r="C31" s="17"/>
      <c r="D31" s="17"/>
      <c r="E31" s="17"/>
      <c r="F31" s="60"/>
      <c r="G31" s="42"/>
      <c r="H31" s="17"/>
      <c r="I31" s="17"/>
      <c r="J31" s="17"/>
      <c r="K31" s="17"/>
      <c r="L31" s="17"/>
      <c r="M31" s="17"/>
      <c r="N31" s="42"/>
      <c r="O31" s="43"/>
    </row>
    <row r="32" spans="1:15">
      <c r="A32" s="17" t="s">
        <v>24</v>
      </c>
      <c r="B32" s="17"/>
      <c r="C32" s="17"/>
      <c r="D32" s="17"/>
      <c r="E32" s="17"/>
      <c r="F32" s="60"/>
      <c r="G32" s="42"/>
      <c r="H32" s="17"/>
      <c r="I32" s="17"/>
      <c r="J32" s="17"/>
      <c r="K32" s="17"/>
      <c r="L32" s="17"/>
      <c r="M32" s="17"/>
      <c r="N32" s="42"/>
      <c r="O32" s="17"/>
    </row>
    <row r="33" spans="1:15">
      <c r="A33" s="17" t="s">
        <v>25</v>
      </c>
      <c r="B33" s="17">
        <f t="shared" ref="B33:M33" si="3">+B16-B30</f>
        <v>-11241.989999999991</v>
      </c>
      <c r="C33" s="17">
        <f t="shared" si="3"/>
        <v>11241.68</v>
      </c>
      <c r="D33" s="17">
        <f t="shared" si="3"/>
        <v>-0.65000000037252903</v>
      </c>
      <c r="E33" s="17">
        <f t="shared" si="3"/>
        <v>0</v>
      </c>
      <c r="F33" s="60">
        <f t="shared" si="3"/>
        <v>90516</v>
      </c>
      <c r="G33" s="42">
        <f t="shared" si="3"/>
        <v>0</v>
      </c>
      <c r="H33" s="17">
        <f t="shared" si="3"/>
        <v>0</v>
      </c>
      <c r="I33" s="17">
        <f t="shared" si="3"/>
        <v>0</v>
      </c>
      <c r="J33" s="79">
        <f t="shared" si="3"/>
        <v>0</v>
      </c>
      <c r="K33" s="17">
        <f t="shared" si="3"/>
        <v>0</v>
      </c>
      <c r="L33" s="17">
        <f t="shared" si="3"/>
        <v>-2984760.53</v>
      </c>
      <c r="M33" s="17">
        <f t="shared" si="3"/>
        <v>-320432.03000000003</v>
      </c>
      <c r="N33" s="42"/>
      <c r="O33" s="17">
        <f>+O16-O30</f>
        <v>-3214677.5199999996</v>
      </c>
    </row>
    <row r="34" spans="1:15">
      <c r="A34" s="17"/>
      <c r="B34" s="17"/>
      <c r="C34" s="17"/>
      <c r="D34" s="17"/>
      <c r="E34" s="17"/>
      <c r="F34" s="60"/>
      <c r="G34" s="42"/>
      <c r="H34" s="17"/>
      <c r="I34" s="17"/>
      <c r="J34" s="17"/>
      <c r="K34" s="17"/>
      <c r="L34" s="17"/>
      <c r="M34" s="17"/>
      <c r="N34" s="42"/>
      <c r="O34" s="17"/>
    </row>
    <row r="35" spans="1:15">
      <c r="A35" s="17" t="s">
        <v>26</v>
      </c>
      <c r="B35" s="6">
        <f>0</f>
        <v>0</v>
      </c>
      <c r="C35" s="6">
        <f>0</f>
        <v>0</v>
      </c>
      <c r="D35" s="6">
        <f>0</f>
        <v>0</v>
      </c>
      <c r="E35" s="6">
        <f>0</f>
        <v>0</v>
      </c>
      <c r="F35" s="61">
        <f>0</f>
        <v>0</v>
      </c>
      <c r="G35" s="45">
        <f>0</f>
        <v>0</v>
      </c>
      <c r="H35" s="6">
        <f>0</f>
        <v>0</v>
      </c>
      <c r="I35" s="6">
        <f>0</f>
        <v>0</v>
      </c>
      <c r="J35" s="6">
        <f>0</f>
        <v>0</v>
      </c>
      <c r="K35" s="6">
        <f>0</f>
        <v>0</v>
      </c>
      <c r="L35" s="6">
        <f>0</f>
        <v>0</v>
      </c>
      <c r="M35" s="6">
        <f>0</f>
        <v>0</v>
      </c>
      <c r="N35" s="45"/>
      <c r="O35" s="6">
        <f>SUM(A35:M35)</f>
        <v>0</v>
      </c>
    </row>
    <row r="36" spans="1:15" ht="17.25">
      <c r="A36" s="17" t="s">
        <v>27</v>
      </c>
      <c r="B36" s="19">
        <f>0</f>
        <v>0</v>
      </c>
      <c r="C36" s="19">
        <f>0</f>
        <v>0</v>
      </c>
      <c r="D36" s="19">
        <f>0</f>
        <v>0</v>
      </c>
      <c r="E36" s="19">
        <f>0</f>
        <v>0</v>
      </c>
      <c r="F36" s="62">
        <f>0</f>
        <v>0</v>
      </c>
      <c r="G36" s="75">
        <f>0</f>
        <v>0</v>
      </c>
      <c r="H36" s="19">
        <f>0</f>
        <v>0</v>
      </c>
      <c r="I36" s="19">
        <f>0</f>
        <v>0</v>
      </c>
      <c r="J36" s="19">
        <f>0</f>
        <v>0</v>
      </c>
      <c r="K36" s="19">
        <f>0</f>
        <v>0</v>
      </c>
      <c r="L36" s="19">
        <f>0</f>
        <v>0</v>
      </c>
      <c r="M36" s="19">
        <f>0</f>
        <v>0</v>
      </c>
      <c r="N36" s="75"/>
      <c r="O36" s="19">
        <f>SUM(A36:M36)</f>
        <v>0</v>
      </c>
    </row>
    <row r="37" spans="1:15">
      <c r="A37" s="17"/>
      <c r="B37" s="17"/>
      <c r="C37" s="17"/>
      <c r="D37" s="17"/>
      <c r="E37" s="17"/>
      <c r="F37" s="60"/>
      <c r="G37" s="42"/>
      <c r="H37" s="17"/>
      <c r="I37" s="17"/>
      <c r="J37" s="17"/>
      <c r="K37" s="17"/>
      <c r="L37" s="17"/>
      <c r="M37" s="17"/>
      <c r="N37" s="42"/>
      <c r="O37" s="17"/>
    </row>
    <row r="38" spans="1:15">
      <c r="A38" s="21"/>
      <c r="B38" s="21"/>
      <c r="C38" s="21"/>
      <c r="D38" s="21"/>
      <c r="E38" s="21"/>
      <c r="F38" s="90"/>
      <c r="G38" s="46"/>
      <c r="H38" s="21"/>
      <c r="I38" s="21"/>
      <c r="J38" s="21"/>
      <c r="K38" s="21"/>
      <c r="L38" s="21"/>
      <c r="M38" s="21"/>
      <c r="N38" s="46"/>
      <c r="O38" s="21"/>
    </row>
    <row r="39" spans="1:15">
      <c r="A39" s="17" t="s">
        <v>28</v>
      </c>
      <c r="B39" s="17"/>
      <c r="C39" s="17"/>
      <c r="D39" s="17"/>
      <c r="E39" s="17"/>
      <c r="F39" s="60"/>
      <c r="G39" s="42"/>
      <c r="H39" s="17"/>
      <c r="I39" s="17"/>
      <c r="J39" s="17"/>
      <c r="K39" s="17"/>
      <c r="L39" s="17"/>
      <c r="M39" s="17"/>
      <c r="N39" s="42"/>
      <c r="O39" s="17"/>
    </row>
    <row r="40" spans="1:15">
      <c r="A40" s="17" t="s">
        <v>29</v>
      </c>
      <c r="B40" s="17">
        <f t="shared" ref="B40:M40" si="4">SUM(B33:B36)</f>
        <v>-11241.989999999991</v>
      </c>
      <c r="C40" s="17">
        <f t="shared" si="4"/>
        <v>11241.68</v>
      </c>
      <c r="D40" s="17">
        <f t="shared" si="4"/>
        <v>-0.65000000037252903</v>
      </c>
      <c r="E40" s="17">
        <f t="shared" si="4"/>
        <v>0</v>
      </c>
      <c r="F40" s="60">
        <f t="shared" si="4"/>
        <v>90516</v>
      </c>
      <c r="G40" s="42">
        <f t="shared" si="4"/>
        <v>0</v>
      </c>
      <c r="H40" s="17">
        <f t="shared" si="4"/>
        <v>0</v>
      </c>
      <c r="I40" s="17">
        <f t="shared" si="4"/>
        <v>0</v>
      </c>
      <c r="J40" s="17">
        <f t="shared" si="4"/>
        <v>0</v>
      </c>
      <c r="K40" s="17">
        <f t="shared" si="4"/>
        <v>0</v>
      </c>
      <c r="L40" s="17">
        <f t="shared" si="4"/>
        <v>-2984760.53</v>
      </c>
      <c r="M40" s="17">
        <f t="shared" si="4"/>
        <v>-320432.03000000003</v>
      </c>
      <c r="N40" s="42"/>
      <c r="O40" s="17">
        <f>SUM(O33:O36)</f>
        <v>-3214677.5199999996</v>
      </c>
    </row>
    <row r="41" spans="1:15">
      <c r="A41" s="17"/>
      <c r="B41" s="17"/>
      <c r="C41" s="17"/>
      <c r="D41" s="17"/>
      <c r="E41" s="17"/>
      <c r="F41" s="60"/>
      <c r="G41" s="42"/>
      <c r="H41" s="17"/>
      <c r="I41" s="17"/>
      <c r="J41" s="17"/>
      <c r="K41" s="17"/>
      <c r="L41" s="17"/>
      <c r="M41" s="17"/>
      <c r="N41" s="42"/>
      <c r="O41" s="17"/>
    </row>
    <row r="42" spans="1:15">
      <c r="A42" s="17" t="s">
        <v>110</v>
      </c>
      <c r="B42" s="17">
        <v>0</v>
      </c>
      <c r="C42" s="17">
        <v>0</v>
      </c>
      <c r="D42" s="17">
        <v>0</v>
      </c>
      <c r="E42" s="17">
        <v>0</v>
      </c>
      <c r="F42" s="60">
        <v>1031755</v>
      </c>
      <c r="G42" s="42">
        <v>0</v>
      </c>
      <c r="H42" s="17">
        <v>0</v>
      </c>
      <c r="I42" s="17">
        <v>0</v>
      </c>
      <c r="J42" s="17">
        <v>0</v>
      </c>
      <c r="K42" s="17">
        <v>1859574</v>
      </c>
      <c r="L42" s="17">
        <v>294981</v>
      </c>
      <c r="M42" s="17">
        <v>0</v>
      </c>
      <c r="N42" s="42"/>
      <c r="O42" s="6">
        <f>SUM(A42:M42)</f>
        <v>3186310</v>
      </c>
    </row>
    <row r="43" spans="1:15">
      <c r="A43" s="17"/>
      <c r="B43" s="17"/>
      <c r="C43" s="17"/>
      <c r="D43" s="17"/>
      <c r="E43" s="17"/>
      <c r="F43" s="60"/>
      <c r="G43" s="42"/>
      <c r="H43" s="17"/>
      <c r="I43" s="17"/>
      <c r="J43" s="17"/>
      <c r="K43" s="17"/>
      <c r="L43" s="17"/>
      <c r="M43" s="17"/>
      <c r="N43" s="42"/>
      <c r="O43" s="17"/>
    </row>
    <row r="44" spans="1:15" ht="17.25">
      <c r="A44" s="17" t="s">
        <v>31</v>
      </c>
      <c r="B44" s="20">
        <v>0</v>
      </c>
      <c r="C44" s="20">
        <v>0</v>
      </c>
      <c r="D44" s="20">
        <v>0</v>
      </c>
      <c r="E44" s="20">
        <v>0</v>
      </c>
      <c r="F44" s="86">
        <v>0</v>
      </c>
      <c r="G44" s="44">
        <v>0</v>
      </c>
      <c r="H44" s="20">
        <v>0</v>
      </c>
      <c r="I44" s="20">
        <v>0</v>
      </c>
      <c r="J44" s="20">
        <v>0</v>
      </c>
      <c r="K44" s="20">
        <v>0</v>
      </c>
      <c r="L44" s="20">
        <v>0</v>
      </c>
      <c r="M44" s="20">
        <v>0</v>
      </c>
      <c r="N44" s="44"/>
      <c r="O44" s="19">
        <f>SUM(A44:K44)</f>
        <v>0</v>
      </c>
    </row>
    <row r="45" spans="1:15">
      <c r="A45" s="17"/>
      <c r="B45" s="17"/>
      <c r="C45" s="17"/>
      <c r="D45" s="17"/>
      <c r="E45" s="17"/>
      <c r="F45" s="60"/>
      <c r="G45" s="42"/>
      <c r="H45" s="17"/>
      <c r="I45" s="17"/>
      <c r="J45" s="17"/>
      <c r="K45" s="17"/>
      <c r="L45" s="17"/>
      <c r="M45" s="17"/>
      <c r="N45" s="42"/>
      <c r="O45" s="17"/>
    </row>
    <row r="46" spans="1:15" ht="17.25">
      <c r="A46" s="16" t="s">
        <v>68</v>
      </c>
      <c r="B46" s="22">
        <f t="shared" ref="B46:M46" si="5">SUM(B40:B44)</f>
        <v>-11241.989999999991</v>
      </c>
      <c r="C46" s="22">
        <f t="shared" si="5"/>
        <v>11241.68</v>
      </c>
      <c r="D46" s="22">
        <f t="shared" si="5"/>
        <v>-0.65000000037252903</v>
      </c>
      <c r="E46" s="22">
        <f t="shared" si="5"/>
        <v>0</v>
      </c>
      <c r="F46" s="91">
        <f t="shared" si="5"/>
        <v>1122271</v>
      </c>
      <c r="G46" s="78">
        <f t="shared" si="5"/>
        <v>0</v>
      </c>
      <c r="H46" s="22">
        <f t="shared" si="5"/>
        <v>0</v>
      </c>
      <c r="I46" s="22">
        <f t="shared" si="5"/>
        <v>0</v>
      </c>
      <c r="J46" s="22">
        <f t="shared" si="5"/>
        <v>0</v>
      </c>
      <c r="K46" s="22">
        <f t="shared" si="5"/>
        <v>1859574</v>
      </c>
      <c r="L46" s="22">
        <f t="shared" si="5"/>
        <v>-2689779.53</v>
      </c>
      <c r="M46" s="22">
        <f t="shared" si="5"/>
        <v>-320432.03000000003</v>
      </c>
      <c r="N46" s="78"/>
      <c r="O46" s="22">
        <f>SUM(O40:O44)</f>
        <v>-28367.519999999553</v>
      </c>
    </row>
    <row r="47" spans="1:15">
      <c r="A47" s="17"/>
      <c r="B47" s="17"/>
      <c r="C47" s="17"/>
      <c r="D47" s="17"/>
      <c r="E47" s="17"/>
      <c r="F47" s="60"/>
      <c r="G47" s="17"/>
    </row>
    <row r="48" spans="1:15">
      <c r="A48" s="23"/>
      <c r="B48" s="5"/>
      <c r="C48" s="5"/>
      <c r="D48" s="5"/>
      <c r="E48" s="5"/>
      <c r="F48" s="92"/>
      <c r="G48" s="5"/>
    </row>
    <row r="49" spans="1:14">
      <c r="A49" s="23"/>
      <c r="B49" s="5"/>
      <c r="C49" s="5"/>
      <c r="D49" s="5"/>
      <c r="E49" s="5"/>
      <c r="F49" s="92"/>
      <c r="G49" s="5"/>
    </row>
    <row r="50" spans="1:14">
      <c r="A50" s="23"/>
      <c r="B50" s="5"/>
      <c r="C50" s="5"/>
      <c r="D50" s="5"/>
      <c r="E50" s="5"/>
      <c r="F50" s="92"/>
      <c r="G50" s="5"/>
      <c r="I50" s="39"/>
    </row>
    <row r="51" spans="1:14">
      <c r="A51" s="23"/>
      <c r="B51" s="5"/>
      <c r="C51" s="5"/>
      <c r="D51" s="5"/>
      <c r="E51" s="5"/>
      <c r="F51" s="92"/>
      <c r="G51" s="5"/>
      <c r="N51" s="80"/>
    </row>
    <row r="52" spans="1:14">
      <c r="A52" s="23"/>
      <c r="B52" s="17"/>
      <c r="C52" s="17"/>
      <c r="D52" s="17"/>
      <c r="E52" s="17"/>
      <c r="F52" s="60"/>
      <c r="G52" s="17"/>
    </row>
    <row r="53" spans="1:14">
      <c r="A53" s="23"/>
      <c r="B53" s="17"/>
      <c r="C53" s="17"/>
      <c r="D53" s="5"/>
      <c r="E53" s="5"/>
      <c r="F53" s="92"/>
      <c r="G53" s="5"/>
    </row>
    <row r="54" spans="1:14">
      <c r="A54" s="23"/>
      <c r="B54" s="24"/>
      <c r="C54" s="24"/>
      <c r="D54" s="24"/>
      <c r="E54" s="24"/>
      <c r="F54" s="93"/>
      <c r="G54" s="24"/>
    </row>
    <row r="55" spans="1:14">
      <c r="A55" s="23"/>
      <c r="B55" s="17"/>
      <c r="C55" s="17"/>
      <c r="D55" s="17"/>
      <c r="E55" s="17"/>
      <c r="F55" s="60"/>
      <c r="G55" s="17"/>
    </row>
    <row r="56" spans="1:14">
      <c r="B56" s="8"/>
      <c r="C56" s="8"/>
      <c r="D56" s="8"/>
      <c r="E56" s="8"/>
      <c r="F56" s="63"/>
      <c r="G56" s="8"/>
    </row>
    <row r="57" spans="1:14">
      <c r="B57" s="8"/>
      <c r="C57" s="8"/>
      <c r="D57" s="8"/>
      <c r="E57" s="8"/>
      <c r="F57" s="63"/>
      <c r="G57" s="8"/>
    </row>
    <row r="58" spans="1:14">
      <c r="B58" s="8"/>
      <c r="C58" s="8"/>
      <c r="D58" s="8"/>
      <c r="E58" s="8"/>
      <c r="F58" s="63"/>
      <c r="G58" s="8"/>
    </row>
    <row r="59" spans="1:14">
      <c r="A59" s="8"/>
      <c r="B59" s="8"/>
      <c r="C59" s="8"/>
      <c r="D59" s="8"/>
      <c r="E59" s="8"/>
      <c r="F59" s="63"/>
      <c r="G59" s="8"/>
    </row>
    <row r="60" spans="1:14">
      <c r="A60" s="8"/>
      <c r="B60" s="8"/>
      <c r="C60" s="8"/>
      <c r="D60" s="8"/>
      <c r="E60" s="8"/>
      <c r="F60" s="63"/>
      <c r="G60" s="8"/>
    </row>
    <row r="61" spans="1:14">
      <c r="A61" s="8"/>
      <c r="B61" s="8"/>
      <c r="C61" s="8"/>
      <c r="D61" s="8"/>
      <c r="E61" s="8"/>
      <c r="F61" s="63"/>
      <c r="G61" s="8"/>
    </row>
    <row r="62" spans="1:14">
      <c r="A62" s="8"/>
      <c r="B62" s="8"/>
      <c r="C62" s="8"/>
      <c r="D62" s="8"/>
      <c r="E62" s="8"/>
      <c r="F62" s="63"/>
      <c r="G62" s="8"/>
    </row>
    <row r="63" spans="1:14">
      <c r="A63" s="8"/>
      <c r="B63" s="8"/>
      <c r="C63" s="8"/>
      <c r="D63" s="8"/>
      <c r="E63" s="8"/>
      <c r="F63" s="63"/>
      <c r="G63" s="8"/>
    </row>
    <row r="64" spans="1:14">
      <c r="A64" s="8"/>
      <c r="B64" s="8"/>
      <c r="C64" s="8"/>
      <c r="D64" s="8"/>
      <c r="E64" s="8"/>
      <c r="F64" s="63"/>
      <c r="G64" s="8"/>
    </row>
    <row r="65" spans="1:7">
      <c r="A65" s="8"/>
      <c r="B65" s="8"/>
      <c r="C65" s="8"/>
      <c r="D65" s="8"/>
      <c r="E65" s="8"/>
      <c r="F65" s="63"/>
      <c r="G65" s="8"/>
    </row>
    <row r="66" spans="1:7">
      <c r="A66" s="8"/>
      <c r="B66" s="8"/>
      <c r="C66" s="8"/>
      <c r="D66" s="8"/>
      <c r="E66" s="8"/>
      <c r="F66" s="63"/>
      <c r="G66" s="8"/>
    </row>
    <row r="67" spans="1:7">
      <c r="A67" s="8"/>
      <c r="B67" s="8"/>
      <c r="C67" s="8"/>
      <c r="D67" s="8"/>
      <c r="E67" s="8"/>
      <c r="F67" s="63"/>
      <c r="G67" s="8"/>
    </row>
    <row r="68" spans="1:7">
      <c r="A68" s="8"/>
      <c r="B68" s="8"/>
      <c r="C68" s="8"/>
      <c r="D68" s="8"/>
      <c r="E68" s="8"/>
      <c r="F68" s="63"/>
      <c r="G68" s="8"/>
    </row>
    <row r="69" spans="1:7">
      <c r="A69" s="8"/>
      <c r="B69" s="8"/>
      <c r="C69" s="8"/>
      <c r="D69" s="8"/>
      <c r="E69" s="8"/>
      <c r="F69" s="63"/>
      <c r="G69" s="8"/>
    </row>
    <row r="70" spans="1:7">
      <c r="A70" s="8"/>
      <c r="B70" s="8"/>
      <c r="C70" s="8"/>
      <c r="D70" s="8"/>
      <c r="E70" s="8"/>
      <c r="F70" s="63"/>
      <c r="G70" s="8"/>
    </row>
    <row r="71" spans="1:7">
      <c r="A71" s="8"/>
      <c r="B71" s="8"/>
      <c r="C71" s="8"/>
      <c r="D71" s="8"/>
      <c r="E71" s="8"/>
      <c r="F71" s="63"/>
      <c r="G71" s="8"/>
    </row>
    <row r="72" spans="1:7">
      <c r="A72" s="8"/>
      <c r="B72" s="8"/>
      <c r="C72" s="8"/>
      <c r="D72" s="8"/>
      <c r="E72" s="8"/>
      <c r="F72" s="63"/>
      <c r="G72" s="8"/>
    </row>
    <row r="73" spans="1:7">
      <c r="A73" s="8"/>
      <c r="B73" s="8"/>
      <c r="C73" s="8"/>
      <c r="D73" s="8"/>
      <c r="E73" s="8"/>
      <c r="F73" s="63"/>
      <c r="G73" s="8"/>
    </row>
    <row r="74" spans="1:7">
      <c r="A74" s="8"/>
      <c r="B74" s="8"/>
      <c r="C74" s="8"/>
      <c r="D74" s="8"/>
      <c r="E74" s="8"/>
      <c r="F74" s="63"/>
      <c r="G74" s="8"/>
    </row>
    <row r="75" spans="1:7">
      <c r="A75" s="3"/>
      <c r="B75" s="3"/>
      <c r="C75" s="3"/>
      <c r="D75" s="3"/>
      <c r="E75" s="3"/>
      <c r="F75" s="94"/>
      <c r="G75" s="3"/>
    </row>
    <row r="76" spans="1:7">
      <c r="A76" s="3"/>
      <c r="B76" s="3"/>
      <c r="C76" s="3"/>
      <c r="D76" s="3"/>
      <c r="E76" s="3"/>
      <c r="F76" s="94"/>
      <c r="G76" s="3"/>
    </row>
    <row r="77" spans="1:7">
      <c r="A77" s="3"/>
      <c r="B77" s="3"/>
      <c r="C77" s="3"/>
      <c r="D77" s="3"/>
      <c r="E77" s="3"/>
      <c r="F77" s="94"/>
      <c r="G77" s="3"/>
    </row>
    <row r="78" spans="1:7">
      <c r="A78" s="3"/>
      <c r="B78" s="3"/>
      <c r="C78" s="3"/>
      <c r="D78" s="3"/>
      <c r="E78" s="3"/>
      <c r="F78" s="94"/>
      <c r="G78" s="3"/>
    </row>
    <row r="79" spans="1:7">
      <c r="A79" s="8"/>
      <c r="B79" s="8"/>
      <c r="C79" s="8"/>
      <c r="D79" s="8"/>
      <c r="E79" s="8"/>
      <c r="F79" s="63"/>
      <c r="G79" s="8"/>
    </row>
    <row r="80" spans="1:7">
      <c r="A80" s="8"/>
      <c r="B80" s="8"/>
      <c r="C80" s="8"/>
      <c r="D80" s="11"/>
      <c r="E80" s="3"/>
      <c r="F80" s="94"/>
      <c r="G80" s="3"/>
    </row>
    <row r="81" spans="1:7">
      <c r="A81" s="8"/>
      <c r="B81" s="11"/>
      <c r="C81" s="11"/>
      <c r="D81" s="11"/>
      <c r="E81" s="11"/>
      <c r="F81" s="95"/>
      <c r="G81" s="11"/>
    </row>
    <row r="82" spans="1:7">
      <c r="A82" s="8"/>
      <c r="B82" s="8"/>
      <c r="C82" s="8"/>
      <c r="D82" s="8"/>
      <c r="E82" s="8"/>
      <c r="F82" s="63"/>
      <c r="G82" s="8"/>
    </row>
    <row r="83" spans="1:7">
      <c r="A83" s="8"/>
      <c r="B83" s="8"/>
      <c r="C83" s="8"/>
      <c r="D83" s="8"/>
      <c r="E83" s="8"/>
      <c r="F83" s="63"/>
      <c r="G83" s="8"/>
    </row>
    <row r="84" spans="1:7">
      <c r="A84" s="8"/>
      <c r="B84" s="8"/>
      <c r="C84" s="8"/>
      <c r="D84" s="8"/>
      <c r="E84" s="8"/>
      <c r="F84" s="63"/>
      <c r="G84" s="8"/>
    </row>
    <row r="85" spans="1:7">
      <c r="A85" s="8"/>
      <c r="B85" s="8"/>
      <c r="C85" s="8"/>
      <c r="D85" s="8"/>
      <c r="E85" s="8"/>
      <c r="F85" s="63"/>
      <c r="G85" s="8"/>
    </row>
    <row r="86" spans="1:7">
      <c r="A86" s="8"/>
      <c r="B86" s="8"/>
      <c r="C86" s="8"/>
      <c r="D86" s="8"/>
      <c r="E86" s="8"/>
      <c r="F86" s="63"/>
      <c r="G86" s="8"/>
    </row>
    <row r="87" spans="1:7">
      <c r="A87" s="8"/>
      <c r="B87" s="8"/>
      <c r="C87" s="8"/>
      <c r="D87" s="8"/>
      <c r="E87" s="8"/>
      <c r="F87" s="63"/>
      <c r="G87" s="8"/>
    </row>
    <row r="88" spans="1:7">
      <c r="A88" s="8"/>
      <c r="B88" s="8"/>
      <c r="C88" s="8"/>
      <c r="D88" s="8"/>
      <c r="E88" s="8"/>
      <c r="F88" s="63"/>
      <c r="G88" s="8"/>
    </row>
    <row r="89" spans="1:7">
      <c r="A89" s="8"/>
      <c r="B89" s="8"/>
      <c r="C89" s="8"/>
      <c r="D89" s="8"/>
      <c r="E89" s="8"/>
      <c r="F89" s="63"/>
      <c r="G89" s="8"/>
    </row>
    <row r="90" spans="1:7">
      <c r="A90" s="8"/>
      <c r="B90" s="8"/>
      <c r="C90" s="8"/>
      <c r="D90" s="8"/>
      <c r="E90" s="8"/>
      <c r="F90" s="63"/>
      <c r="G90" s="8"/>
    </row>
    <row r="91" spans="1:7">
      <c r="A91" s="8"/>
      <c r="B91" s="8"/>
      <c r="C91" s="8"/>
      <c r="D91" s="8"/>
      <c r="E91" s="8"/>
      <c r="F91" s="63"/>
      <c r="G91" s="8"/>
    </row>
    <row r="92" spans="1:7">
      <c r="A92" s="12"/>
      <c r="B92" s="12"/>
      <c r="C92" s="12"/>
      <c r="D92" s="12"/>
      <c r="E92" s="12"/>
      <c r="F92" s="96"/>
      <c r="G92" s="12"/>
    </row>
    <row r="93" spans="1:7">
      <c r="A93" s="8"/>
      <c r="B93" s="8"/>
      <c r="C93" s="8"/>
      <c r="D93" s="8"/>
      <c r="E93" s="8"/>
      <c r="F93" s="63"/>
      <c r="G93" s="8"/>
    </row>
    <row r="94" spans="1:7">
      <c r="A94" s="8"/>
      <c r="B94" s="8"/>
      <c r="C94" s="8"/>
      <c r="D94" s="8"/>
      <c r="E94" s="8"/>
      <c r="F94" s="63"/>
      <c r="G94" s="8"/>
    </row>
    <row r="95" spans="1:7">
      <c r="A95" s="8"/>
      <c r="B95" s="13"/>
      <c r="C95" s="13"/>
      <c r="D95" s="13"/>
      <c r="E95" s="13"/>
      <c r="F95" s="63"/>
      <c r="G95" s="8"/>
    </row>
    <row r="96" spans="1:7">
      <c r="A96" s="8"/>
      <c r="B96" s="13"/>
      <c r="C96" s="13"/>
      <c r="D96" s="8"/>
      <c r="E96" s="8"/>
      <c r="F96" s="63"/>
      <c r="G96" s="8"/>
    </row>
    <row r="97" spans="1:7">
      <c r="A97" s="8"/>
      <c r="B97" s="13"/>
      <c r="C97" s="13"/>
      <c r="D97" s="8"/>
      <c r="E97" s="8"/>
      <c r="F97" s="63"/>
      <c r="G97" s="8"/>
    </row>
    <row r="98" spans="1:7">
      <c r="A98" s="8"/>
      <c r="B98" s="13"/>
      <c r="C98" s="13"/>
      <c r="D98" s="8"/>
      <c r="E98" s="8"/>
      <c r="F98" s="63"/>
      <c r="G98" s="8"/>
    </row>
    <row r="99" spans="1:7">
      <c r="A99" s="8"/>
      <c r="B99" s="8"/>
      <c r="C99" s="8"/>
      <c r="D99" s="8"/>
      <c r="E99" s="8"/>
      <c r="F99" s="63"/>
      <c r="G99" s="8"/>
    </row>
    <row r="100" spans="1:7">
      <c r="A100" s="8"/>
      <c r="B100" s="8"/>
      <c r="C100" s="8"/>
      <c r="D100" s="8"/>
      <c r="E100" s="8"/>
      <c r="F100" s="63"/>
      <c r="G100" s="8"/>
    </row>
    <row r="101" spans="1:7">
      <c r="A101" s="8"/>
      <c r="B101" s="13"/>
      <c r="C101" s="13"/>
      <c r="D101" s="8"/>
      <c r="E101" s="8"/>
      <c r="F101" s="63"/>
      <c r="G101" s="8"/>
    </row>
    <row r="102" spans="1:7">
      <c r="A102" s="8"/>
      <c r="B102" s="8"/>
      <c r="C102" s="8"/>
      <c r="D102" s="8"/>
      <c r="E102" s="8"/>
      <c r="F102" s="63"/>
      <c r="G102" s="8"/>
    </row>
    <row r="103" spans="1:7">
      <c r="A103" s="8"/>
      <c r="B103" s="8"/>
      <c r="C103" s="8"/>
      <c r="D103" s="8"/>
      <c r="E103" s="8"/>
      <c r="F103" s="63"/>
      <c r="G103" s="8"/>
    </row>
    <row r="104" spans="1:7">
      <c r="A104" s="8"/>
      <c r="B104" s="8"/>
      <c r="C104" s="8"/>
      <c r="D104" s="8"/>
      <c r="E104" s="8"/>
      <c r="F104" s="63"/>
      <c r="G104" s="8"/>
    </row>
    <row r="105" spans="1:7">
      <c r="A105" s="8"/>
      <c r="B105" s="8"/>
      <c r="C105" s="8"/>
      <c r="D105" s="8"/>
      <c r="E105" s="8"/>
      <c r="F105" s="63"/>
      <c r="G105" s="8"/>
    </row>
    <row r="106" spans="1:7">
      <c r="A106" s="8"/>
      <c r="B106" s="13"/>
      <c r="C106" s="13"/>
      <c r="D106" s="8"/>
      <c r="E106" s="8"/>
      <c r="F106" s="63"/>
      <c r="G106" s="8"/>
    </row>
    <row r="107" spans="1:7">
      <c r="A107" s="8"/>
      <c r="B107" s="13"/>
      <c r="C107" s="13"/>
      <c r="D107" s="8"/>
      <c r="E107" s="8"/>
      <c r="F107" s="63"/>
      <c r="G107" s="8"/>
    </row>
    <row r="108" spans="1:7">
      <c r="A108" s="8"/>
      <c r="B108" s="13"/>
      <c r="C108" s="13"/>
      <c r="D108" s="13"/>
      <c r="E108" s="13"/>
      <c r="F108" s="63"/>
      <c r="G108" s="8"/>
    </row>
    <row r="109" spans="1:7">
      <c r="A109" s="8"/>
      <c r="B109" s="13"/>
      <c r="C109" s="13"/>
      <c r="D109" s="8"/>
      <c r="E109" s="8"/>
      <c r="F109" s="63"/>
      <c r="G109" s="8"/>
    </row>
    <row r="110" spans="1:7">
      <c r="A110" s="8"/>
      <c r="B110" s="13"/>
      <c r="C110" s="13"/>
      <c r="D110" s="13"/>
      <c r="E110" s="13"/>
      <c r="F110" s="63"/>
      <c r="G110" s="8"/>
    </row>
  </sheetData>
  <mergeCells count="4">
    <mergeCell ref="A1:G1"/>
    <mergeCell ref="A2:G2"/>
    <mergeCell ref="A3:G3"/>
    <mergeCell ref="A4:G4"/>
  </mergeCells>
  <pageMargins left="0.24" right="0.24" top="0.75" bottom="0.75" header="0.3" footer="0.3"/>
  <pageSetup fitToHeight="0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18</vt:i4>
      </vt:variant>
    </vt:vector>
  </HeadingPairs>
  <TitlesOfParts>
    <vt:vector size="35" baseType="lpstr">
      <vt:lpstr>F000 Sum</vt:lpstr>
      <vt:lpstr>F000 Detail</vt:lpstr>
      <vt:lpstr>F000 F&amp;O</vt:lpstr>
      <vt:lpstr>F100 Sum</vt:lpstr>
      <vt:lpstr>F100 Detail</vt:lpstr>
      <vt:lpstr>F100 Object</vt:lpstr>
      <vt:lpstr>F200 Object</vt:lpstr>
      <vt:lpstr>F200 Detail</vt:lpstr>
      <vt:lpstr>F200 Fund</vt:lpstr>
      <vt:lpstr>F500 Sum</vt:lpstr>
      <vt:lpstr>F500 Object</vt:lpstr>
      <vt:lpstr>F500 Detail</vt:lpstr>
      <vt:lpstr>F600 Sum</vt:lpstr>
      <vt:lpstr>F600 Detail</vt:lpstr>
      <vt:lpstr>All Outstanding Debt</vt:lpstr>
      <vt:lpstr>Aggregate Debt Service</vt:lpstr>
      <vt:lpstr>Sheet2</vt:lpstr>
      <vt:lpstr>'F000 Detail'!Print_Area</vt:lpstr>
      <vt:lpstr>'F000 F&amp;O'!Print_Area</vt:lpstr>
      <vt:lpstr>'F000 Sum'!Print_Area</vt:lpstr>
      <vt:lpstr>'F100 Detail'!Print_Area</vt:lpstr>
      <vt:lpstr>'F100 Object'!Print_Area</vt:lpstr>
      <vt:lpstr>'F200 Detail'!Print_Area</vt:lpstr>
      <vt:lpstr>'F200 Fund'!Print_Area</vt:lpstr>
      <vt:lpstr>'F200 Object'!Print_Area</vt:lpstr>
      <vt:lpstr>'F500 Detail'!Print_Area</vt:lpstr>
      <vt:lpstr>'F500 Object'!Print_Area</vt:lpstr>
      <vt:lpstr>'F600 Detail'!Print_Area</vt:lpstr>
      <vt:lpstr>'F600 Sum'!Print_Area</vt:lpstr>
      <vt:lpstr>'F000 Detail'!Print_Titles</vt:lpstr>
      <vt:lpstr>'F000 F&amp;O'!Print_Titles</vt:lpstr>
      <vt:lpstr>'F100 Detail'!Print_Titles</vt:lpstr>
      <vt:lpstr>'F200 Detail'!Print_Titles</vt:lpstr>
      <vt:lpstr>'F500 Detail'!Print_Titles</vt:lpstr>
      <vt:lpstr>'F600 Detail'!Print_Titles</vt:lpstr>
    </vt:vector>
  </TitlesOfParts>
  <Company>NISD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1. Financial Accounting and Reporting</dc:title>
  <dc:creator>Northwest ISD</dc:creator>
  <cp:lastModifiedBy>Christine Arrington</cp:lastModifiedBy>
  <cp:lastPrinted>2021-01-21T18:22:42Z</cp:lastPrinted>
  <dcterms:created xsi:type="dcterms:W3CDTF">2001-08-21T21:01:55Z</dcterms:created>
  <dcterms:modified xsi:type="dcterms:W3CDTF">2021-05-26T16:26:28Z</dcterms:modified>
</cp:coreProperties>
</file>